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675" windowWidth="11970" windowHeight="3225" tabRatio="604" activeTab="0"/>
  </bookViews>
  <sheets>
    <sheet name="Kura ve Açık Satış SİYAH" sheetId="1" r:id="rId1"/>
  </sheets>
  <definedNames>
    <definedName name="_xlnm._FilterDatabase" localSheetId="0" hidden="1">'Kura ve Açık Satış SİYAH'!$A$3:$IV$120</definedName>
    <definedName name="_xlnm.Print_Area" localSheetId="0">'Kura ve Açık Satış SİYAH'!$A$1:$V$134</definedName>
    <definedName name="_xlnm.Print_Titles" localSheetId="0">'Kura ve Açık Satış SİYAH'!$1:$3</definedName>
    <definedName name="Z_048ADEF2_191C_478B_8005_F68D50F92C29_.wvu.Cols" localSheetId="0" hidden="1">'Kura ve Açık Satış SİYAH'!#REF!,'Kura ve Açık Satış SİYAH'!$N:$N</definedName>
    <definedName name="Z_048ADEF2_191C_478B_8005_F68D50F92C29_.wvu.FilterData" localSheetId="0" hidden="1">'Kura ve Açık Satış SİYAH'!$A$3:$BL$120</definedName>
    <definedName name="Z_048ADEF2_191C_478B_8005_F68D50F92C29_.wvu.PrintArea" localSheetId="0" hidden="1">'Kura ve Açık Satış SİYAH'!$A$1:$V$127</definedName>
    <definedName name="Z_048ADEF2_191C_478B_8005_F68D50F92C29_.wvu.PrintTitles" localSheetId="0" hidden="1">'Kura ve Açık Satış SİYAH'!$1:$3</definedName>
  </definedNames>
  <calcPr fullCalcOnLoad="1"/>
</workbook>
</file>

<file path=xl/sharedStrings.xml><?xml version="1.0" encoding="utf-8"?>
<sst xmlns="http://schemas.openxmlformats.org/spreadsheetml/2006/main" count="969" uniqueCount="581">
  <si>
    <t>BAŞVURU DÖNEMİ</t>
  </si>
  <si>
    <t>ARACI BANKA</t>
  </si>
  <si>
    <t>SIRA NO</t>
  </si>
  <si>
    <t>TOPLAM KONUT SAYISI</t>
  </si>
  <si>
    <t>SATIŞA SUNULAN KONUT SAYISI</t>
  </si>
  <si>
    <t>KONUT BÜYÜKLÜĞÜ (BRÜT M2)</t>
  </si>
  <si>
    <t>KURA TARİHİ</t>
  </si>
  <si>
    <t>KALAN KONUT SAYISI</t>
  </si>
  <si>
    <t>PROJE  ADI 
VE
TOPLAM KONUT SAYISI</t>
  </si>
  <si>
    <t>HALK</t>
  </si>
  <si>
    <t>ZİRAAT</t>
  </si>
  <si>
    <t xml:space="preserve">YAKLAŞIK  BAŞLANGIÇ TAKSİDİ </t>
  </si>
  <si>
    <t>VADE</t>
  </si>
  <si>
    <t>96
108
120</t>
  </si>
  <si>
    <t>AÇIK
SATIŞ</t>
  </si>
  <si>
    <t>KURUMLARA
VERİLEN
KONUT
SAYISI</t>
  </si>
  <si>
    <t>KURUM
ADI</t>
  </si>
  <si>
    <t>Proje
Grubu</t>
  </si>
  <si>
    <t xml:space="preserve"> </t>
  </si>
  <si>
    <t>SATILAN KONUT SAYISI</t>
  </si>
  <si>
    <t>BEL.</t>
  </si>
  <si>
    <t xml:space="preserve">SATIŞA SUNULAN VE SUNULACAK PROJELER 
BAŞVURU ve SATIŞ ADETLERİ                 
</t>
  </si>
  <si>
    <t>AÇIK ARTIRMA YÖNTEMİYLE SATIŞA SUNULAN PROJELERİ GÖSTERMEKTEDİR.</t>
  </si>
  <si>
    <t>KUR.</t>
  </si>
  <si>
    <t>Manisa-Akhisar
308 ADET</t>
  </si>
  <si>
    <t>TSK.</t>
  </si>
  <si>
    <t>Osmaniye-Kadirli
2.Etap
160 ADET</t>
  </si>
  <si>
    <t>Bursa-Yıldırım
Akçağlayan
774 ADET</t>
  </si>
  <si>
    <t>97,51
158,38</t>
  </si>
  <si>
    <t>Bolu-Merkez
Karaköy
240 ADET</t>
  </si>
  <si>
    <t>Adapazarı-Ayçiçeği
Vadisi
1.208 ADET</t>
  </si>
  <si>
    <t>64
96
69</t>
  </si>
  <si>
    <t>SAV.
EMN.
BAK.</t>
  </si>
  <si>
    <t>103,42
185,76</t>
  </si>
  <si>
    <t>84
96
120</t>
  </si>
  <si>
    <t>Niğde-Altunhisar
96 ADET</t>
  </si>
  <si>
    <t>Erzurum-Aşkale
Yeniköy
45 ADET</t>
  </si>
  <si>
    <t>Erzurum-Aşkale
Kandilli
96 ADET</t>
  </si>
  <si>
    <t>AFET.</t>
  </si>
  <si>
    <t>Diyarbakır-Silvan
96 ADET</t>
  </si>
  <si>
    <t>64
16</t>
  </si>
  <si>
    <t>EMN.
JAN.</t>
  </si>
  <si>
    <t>Antalya-Çıplaklı
472 ADET</t>
  </si>
  <si>
    <t>Sivas-Suşehri
176 ADET</t>
  </si>
  <si>
    <t>22
22</t>
  </si>
  <si>
    <t>Ordu-Ünye
288 ADET</t>
  </si>
  <si>
    <t>64
1</t>
  </si>
  <si>
    <t xml:space="preserve">EMN.
AFET
</t>
  </si>
  <si>
    <t>120,18
132,17</t>
  </si>
  <si>
    <t>84
96
108</t>
  </si>
  <si>
    <t>Aydın-Merkez
120 ADET</t>
  </si>
  <si>
    <t>48
16</t>
  </si>
  <si>
    <t>121,82
122,40</t>
  </si>
  <si>
    <t>Ankara-Turkuaz
Vadisi
4.430 ADET</t>
  </si>
  <si>
    <t>94,91
192,28</t>
  </si>
  <si>
    <t>48
72
96</t>
  </si>
  <si>
    <t>119,28
146,42</t>
  </si>
  <si>
    <t>75,06
192,00</t>
  </si>
  <si>
    <t>Konya-Çumra
156 ADET</t>
  </si>
  <si>
    <t>İzmir-Tire
240 ADET</t>
  </si>
  <si>
    <t>106,63
120,18</t>
  </si>
  <si>
    <t>Edirne-Merkez
Fırınlarsırtı
416 ADET</t>
  </si>
  <si>
    <t>Balıkesir-Bandırma
Kayacık
374 ADET</t>
  </si>
  <si>
    <t>Isparta-Merkez
Aliköy
300 ADET</t>
  </si>
  <si>
    <t>Ağrı-Patnos
224 ADET</t>
  </si>
  <si>
    <t>80
16</t>
  </si>
  <si>
    <t>İzmir-Torbalı
440 ADET</t>
  </si>
  <si>
    <t>40
58
80</t>
  </si>
  <si>
    <t>SGK.
BEL.
EMN.</t>
  </si>
  <si>
    <t>120,18
138,43</t>
  </si>
  <si>
    <t>Eskişehir-Tepebaşı
Aşağısöğütönü
749 ADET</t>
  </si>
  <si>
    <t>EMN.
BEL.</t>
  </si>
  <si>
    <t>93,91
135,37</t>
  </si>
  <si>
    <t>Düzce-Merkez
Metek
1.376 ADET</t>
  </si>
  <si>
    <t>106,63
130,88</t>
  </si>
  <si>
    <t>Edirne-İpsala
144 ADET</t>
  </si>
  <si>
    <t>106,60
137,67</t>
  </si>
  <si>
    <t>Bartın-Merkez
2.Etap
206 ADET</t>
  </si>
  <si>
    <t>Bursa-Hamitler
516 ADET</t>
  </si>
  <si>
    <t>135,4
192,3</t>
  </si>
  <si>
    <t>Çorum-Merkez
1.160 ADET</t>
  </si>
  <si>
    <t>95,43
119,28</t>
  </si>
  <si>
    <t>Manisa-Turgutlu
384 ADET</t>
  </si>
  <si>
    <t>BEL.
EMN.
AGV.</t>
  </si>
  <si>
    <t>42
48
16</t>
  </si>
  <si>
    <t>94,91
120,18</t>
  </si>
  <si>
    <t>Kahramanmaraş-Elbistan
504 ADET</t>
  </si>
  <si>
    <t>Balıkesir-Edremit
160 ADET</t>
  </si>
  <si>
    <t>119,28
132,17</t>
  </si>
  <si>
    <t>Gaziantep-Şehitkamil
1.104 ADET</t>
  </si>
  <si>
    <t>Yalova-Kazımiye
128 ADET</t>
  </si>
  <si>
    <t>128,74
129,22</t>
  </si>
  <si>
    <t>Burdur-Bucak
200 ADET</t>
  </si>
  <si>
    <t>119,28
130,88</t>
  </si>
  <si>
    <t>Mersin-Erdemli
640 ADET</t>
  </si>
  <si>
    <t>108
120
144</t>
  </si>
  <si>
    <t>Ankara-Elmadağ
192 ADET</t>
  </si>
  <si>
    <t>Yalova-Merkez
Hacımehmetli
712 ADET</t>
  </si>
  <si>
    <t>Kayseri-Melikgazi
6. Ve 7. Bölge
632 ADET</t>
  </si>
  <si>
    <t>112,21
132,17</t>
  </si>
  <si>
    <t>Bitlis-Tatvan
2.Etap
272 ADET</t>
  </si>
  <si>
    <t>106,63
135,37</t>
  </si>
  <si>
    <t>79.487
126.527</t>
  </si>
  <si>
    <t>318
1.054</t>
  </si>
  <si>
    <t>Manisa-Merkez
3. Etap
192 ADET</t>
  </si>
  <si>
    <t>Balıkesir-Merkez
2. Etap
488 ADET</t>
  </si>
  <si>
    <t>94,91
135,37</t>
  </si>
  <si>
    <t>86.382
105.783</t>
  </si>
  <si>
    <t>510
624</t>
  </si>
  <si>
    <t>96.835
122.260</t>
  </si>
  <si>
    <t>480
1.237</t>
  </si>
  <si>
    <t>505
1.055</t>
  </si>
  <si>
    <t>68.108
89.924</t>
  </si>
  <si>
    <t>384
843</t>
  </si>
  <si>
    <t>87.330
136.743</t>
  </si>
  <si>
    <t>545
1.282</t>
  </si>
  <si>
    <t>55.198
65.968</t>
  </si>
  <si>
    <t>53.420
54.810</t>
  </si>
  <si>
    <t>105.008
141.348</t>
  </si>
  <si>
    <t>590
1.325</t>
  </si>
  <si>
    <t>67.419
112.752</t>
  </si>
  <si>
    <t>421
1.058</t>
  </si>
  <si>
    <t>82.499
101.782</t>
  </si>
  <si>
    <t>515
954</t>
  </si>
  <si>
    <t>64.428
88.766</t>
  </si>
  <si>
    <t>402
832</t>
  </si>
  <si>
    <t>70.365
101.243</t>
  </si>
  <si>
    <t>264
843</t>
  </si>
  <si>
    <t>74.357
88.653</t>
  </si>
  <si>
    <t>388
739</t>
  </si>
  <si>
    <t>89.721
112.543</t>
  </si>
  <si>
    <t>276
330</t>
  </si>
  <si>
    <t>268
274</t>
  </si>
  <si>
    <t>Gaziantep-Islahiye
Alt Gelir 
160 ADET</t>
  </si>
  <si>
    <t>56.950
65.336</t>
  </si>
  <si>
    <t>278
319</t>
  </si>
  <si>
    <t>Bursa-İnegöl
510 ADET</t>
  </si>
  <si>
    <t>111,18
130,97</t>
  </si>
  <si>
    <t>73.701
105.701</t>
  </si>
  <si>
    <t>461
991</t>
  </si>
  <si>
    <t>66.863
102.576</t>
  </si>
  <si>
    <t>376
962</t>
  </si>
  <si>
    <t>Kırıkkale-Yahşihan
174 ADET</t>
  </si>
  <si>
    <t>97.293
121.996</t>
  </si>
  <si>
    <t>414
1.080</t>
  </si>
  <si>
    <t>Kütahya-Merkez-İnköy
3.Etap
252 ADET</t>
  </si>
  <si>
    <t>336
32
59</t>
  </si>
  <si>
    <t>EMN.
JAN.
KUR.</t>
  </si>
  <si>
    <t>55.767
75.362</t>
  </si>
  <si>
    <t>273
368</t>
  </si>
  <si>
    <t>83,67
84,11</t>
  </si>
  <si>
    <t>Gaziantep-Şahinbey
Serinevler-Perilikaya
Alt Gelir
552 ADET</t>
  </si>
  <si>
    <t>Ankara-Ayaş
288 ADET</t>
  </si>
  <si>
    <t>93,91
128,79</t>
  </si>
  <si>
    <t>Gaziantep-Şahinbey
Serinevler-Perilikaya
708 ADET</t>
  </si>
  <si>
    <t>93,33
146,40</t>
  </si>
  <si>
    <t>Ankara-Güdül
144 ADET</t>
  </si>
  <si>
    <t>112,21
146,42</t>
  </si>
  <si>
    <t>Balıkesir-Bandırma
Edincik
412  ADET</t>
  </si>
  <si>
    <t>Konya-Meram
972 ADET</t>
  </si>
  <si>
    <t>BEL.
KUR.</t>
  </si>
  <si>
    <t>94,32
132,17</t>
  </si>
  <si>
    <t>Erzurum-Palandöken Yıldızkent
Alt Gelir 
504 ADET</t>
  </si>
  <si>
    <t>Hatay-Reyhanlı
Alt Gelir
80 ADET</t>
  </si>
  <si>
    <t>50.059
57.373</t>
  </si>
  <si>
    <t>245
280</t>
  </si>
  <si>
    <t>Adana-Karaisalı
1.ve 2. Etap
Alt Gelir
184 ADET</t>
  </si>
  <si>
    <t>Ankara-Yenimahalle
960 ADET</t>
  </si>
  <si>
    <t>148,50
192,40</t>
  </si>
  <si>
    <t>197.556
305.284</t>
  </si>
  <si>
    <t>60
84
120</t>
  </si>
  <si>
    <t>988
4.325</t>
  </si>
  <si>
    <t>Ankara-Mamak
294 ADET</t>
  </si>
  <si>
    <t>Bitlis-Rahva
3.Etap
272 ADET</t>
  </si>
  <si>
    <t>KENT.Y.
BEL.
THD.</t>
  </si>
  <si>
    <t>Tokat-Turhal
300 ADET</t>
  </si>
  <si>
    <t>Kahramanmaraş-Afşin
160 ADET</t>
  </si>
  <si>
    <t>300
150
32</t>
  </si>
  <si>
    <t>ÜNV.
Ş.YUV
YURT.</t>
  </si>
  <si>
    <t>93,88
111,18</t>
  </si>
  <si>
    <t>Çanakkale-Kepez
960 ADET</t>
  </si>
  <si>
    <t>Mersin-Silifke
312 ADET</t>
  </si>
  <si>
    <t>87.861
98.687</t>
  </si>
  <si>
    <t>549
925</t>
  </si>
  <si>
    <t>Bolu-Merkez
Karaköy
2. Etap
200 ADET</t>
  </si>
  <si>
    <t>Niğde-Bor
4. Etap
208 ADET</t>
  </si>
  <si>
    <t>143,96
185,76</t>
  </si>
  <si>
    <t>75.837
122.749</t>
  </si>
  <si>
    <t>474
1.151</t>
  </si>
  <si>
    <t>EMN.</t>
  </si>
  <si>
    <t>79.098
90.685</t>
  </si>
  <si>
    <t>494
850</t>
  </si>
  <si>
    <t>Mardin-Midyat
240 ADET</t>
  </si>
  <si>
    <t>4.750
2.028.363</t>
  </si>
  <si>
    <t>42
215</t>
  </si>
  <si>
    <t xml:space="preserve">30
</t>
  </si>
  <si>
    <t xml:space="preserve">JAN.
</t>
  </si>
  <si>
    <t>Zonguldak-Ereğli
258 ADET</t>
  </si>
  <si>
    <t>63.592
98.782</t>
  </si>
  <si>
    <t>397
926</t>
  </si>
  <si>
    <t>Siirt-Doluharman
Tarımköy
163 ADET</t>
  </si>
  <si>
    <t>54.080
58.468</t>
  </si>
  <si>
    <t>270
292</t>
  </si>
  <si>
    <t>Ordu-Merkez
238 ADET</t>
  </si>
  <si>
    <t>81.396
98.573</t>
  </si>
  <si>
    <t>509
924</t>
  </si>
  <si>
    <t>HALK
ZİRAAT</t>
  </si>
  <si>
    <t>Kırıkkale-Hacıbey
344 ADET</t>
  </si>
  <si>
    <t>51.109
60.025</t>
  </si>
  <si>
    <t>250
293</t>
  </si>
  <si>
    <t xml:space="preserve">
81,52
82,18
</t>
  </si>
  <si>
    <t>Mersin-Toroslar
320 ADET</t>
  </si>
  <si>
    <t>93.953
107.522</t>
  </si>
  <si>
    <t>587
1.008</t>
  </si>
  <si>
    <t>Hatay-Reyhanlı
192 ADET</t>
  </si>
  <si>
    <t xml:space="preserve">
12
48
</t>
  </si>
  <si>
    <t xml:space="preserve">
JAN.
EMN.
</t>
  </si>
  <si>
    <t>69.832
81.112</t>
  </si>
  <si>
    <t>436
760</t>
  </si>
  <si>
    <t>Gaziantep-Islahiye
312 ADET</t>
  </si>
  <si>
    <t>68.441
85.679</t>
  </si>
  <si>
    <t>96
108
144</t>
  </si>
  <si>
    <t>380
803</t>
  </si>
  <si>
    <t>Balıkesir-Bandırma
Kayacık
Alt Gelir
464 ADET</t>
  </si>
  <si>
    <t>57.403
65.568</t>
  </si>
  <si>
    <t>281
321</t>
  </si>
  <si>
    <t>Samsun-Çarşamba
672 ADET</t>
  </si>
  <si>
    <t xml:space="preserve">
28
28
28
</t>
  </si>
  <si>
    <t>94.474
116.009</t>
  </si>
  <si>
    <t>558
685</t>
  </si>
  <si>
    <t>Ankara-Polatlı
2. Etap
584 ADET</t>
  </si>
  <si>
    <t>112,21
135,37</t>
  </si>
  <si>
    <t>96
108
144
180</t>
  </si>
  <si>
    <t>Konya-Halkapınar
2. Etap
208 ADET</t>
  </si>
  <si>
    <t>Mersin-Silifke
Alt Gelir
224 ADET</t>
  </si>
  <si>
    <t>50.176
62.906</t>
  </si>
  <si>
    <t>257
327</t>
  </si>
  <si>
    <t>Antalya-Kepez
2. Etap
392 ADET</t>
  </si>
  <si>
    <t>56
28</t>
  </si>
  <si>
    <t>KUR.
BEL.</t>
  </si>
  <si>
    <t>JAN.</t>
  </si>
  <si>
    <t>SATILAN
KONUT
SAYISI</t>
  </si>
  <si>
    <t>SATIŞ DÖNEMİ</t>
  </si>
  <si>
    <t>SATIŞ TÜRÜ</t>
  </si>
  <si>
    <t>AÇIK
 SATIŞ</t>
  </si>
  <si>
    <t>DÜŞÜK SATIŞLI PROJE</t>
  </si>
  <si>
    <t>Kahramanmaraş-Merkez
Fatih Mahallesi
200 ADET</t>
  </si>
  <si>
    <t>145,17
147,84</t>
  </si>
  <si>
    <t>48
96</t>
  </si>
  <si>
    <t>BEL.
JAN.</t>
  </si>
  <si>
    <t>BEL.
ATG.
JAN.</t>
  </si>
  <si>
    <t>8
20</t>
  </si>
  <si>
    <t>SAV.
JAN.</t>
  </si>
  <si>
    <t>10
72</t>
  </si>
  <si>
    <t>THD.
JAN.</t>
  </si>
  <si>
    <t>10
80</t>
  </si>
  <si>
    <t>1.593
10
21</t>
  </si>
  <si>
    <t>Şanlıurfa-Siverek
Alt Gelir
112 ADET</t>
  </si>
  <si>
    <t>82,00
84,11</t>
  </si>
  <si>
    <t>80
63
10</t>
  </si>
  <si>
    <t>Trabzon-Akçaabat
340 ADET</t>
  </si>
  <si>
    <t>24
50</t>
  </si>
  <si>
    <t>BEL.
EGM</t>
  </si>
  <si>
    <t>İzmir-Buca
1. Etap
694 ADET</t>
  </si>
  <si>
    <t>Adana-Seyhan-
Zincirlibağlar
1.084 ADET</t>
  </si>
  <si>
    <t>125
192
96
96</t>
  </si>
  <si>
    <t>BEL.
TSK.
JAN.
EMN.</t>
  </si>
  <si>
    <t>THD.
EMN.</t>
  </si>
  <si>
    <t>48
128
48</t>
  </si>
  <si>
    <t>MSB.
JAN.
EMN.</t>
  </si>
  <si>
    <t>İstanbul-Halkalı
7.718 ADET</t>
  </si>
  <si>
    <t>Mersin-Anamur
144 ADET</t>
  </si>
  <si>
    <t>86,63
146,42</t>
  </si>
  <si>
    <t>SATIŞA SUNULACAK KONUT
SAYISI</t>
  </si>
  <si>
    <t>KALAN
KONUT
 SAYISI</t>
  </si>
  <si>
    <t>SATIŞ
FİYATI 
EN DÜŞÜK 
EN YÜKSEK</t>
  </si>
  <si>
    <t xml:space="preserve">    +</t>
  </si>
  <si>
    <t>Sıra
No</t>
  </si>
  <si>
    <t>KALAN
KONUT
SAYISI</t>
  </si>
  <si>
    <t>SATIŞTA OLAN KURALI PROJELERİ GÖSTERMEKTEDİR.</t>
  </si>
  <si>
    <t>*  12.06.2009 TARİHİ İÇİN AÇIK SATIŞ YÖNTEMLİ 17 PROJE İÇİN  TOPLAM SATIŞ 27 ADET.</t>
  </si>
  <si>
    <t>**12.06.2009 TARİHİ İÇİN KURA YÖNTEMLİ 6 PROJE İÇİN TOPLAM BAŞVURU 584 ADET.</t>
  </si>
  <si>
    <t>HİÇ SATIŞ OLMAYAN PROJELERİ GÖSTERMEKTEDİR.</t>
  </si>
  <si>
    <t>Balıkesir-Edremit
İbrahimce
Alt Gelir
252 ADET</t>
  </si>
  <si>
    <t>84,39
85,09</t>
  </si>
  <si>
    <t>56.030
65.540</t>
  </si>
  <si>
    <t>274
320</t>
  </si>
  <si>
    <t>Muhtelif Ticaret Mrk. İşyeri
328 ADET</t>
  </si>
  <si>
    <t>15.09.2008
30.09.2009</t>
  </si>
  <si>
    <t>03.03.2008
30.09.2009</t>
  </si>
  <si>
    <t>21.01.2008
30.09.2009</t>
  </si>
  <si>
    <t>06.10.2008
30.09.2009</t>
  </si>
  <si>
    <t>11.02.2008
30.09.2009</t>
  </si>
  <si>
    <t>23.02.2009
30.09.2009</t>
  </si>
  <si>
    <t>10.11.2008
30.09.2009</t>
  </si>
  <si>
    <t>16.03.2009
30.09.2009</t>
  </si>
  <si>
    <t>01.01.2009
30.09.2009</t>
  </si>
  <si>
    <t>08.08.2008
30.09.2009</t>
  </si>
  <si>
    <t>08.04.2009
30.09.2009</t>
  </si>
  <si>
    <t>10.10.2008
30.09.2009</t>
  </si>
  <si>
    <t>25.11.2008
30.09.2009</t>
  </si>
  <si>
    <t>21.05.2009
30.09.2009</t>
  </si>
  <si>
    <t>17.06.2008
30.09.2009</t>
  </si>
  <si>
    <t>12.11.2008
30.09.2009</t>
  </si>
  <si>
    <t>31.03.2008
30.09.2009</t>
  </si>
  <si>
    <t>02.02.2009
30.09.2009</t>
  </si>
  <si>
    <t>28.01.2008
30.09.2009</t>
  </si>
  <si>
    <t>24.01.2008
30.09.2009</t>
  </si>
  <si>
    <t>22.01.2008
30.09.2009</t>
  </si>
  <si>
    <t>23.01.2008
30.09.2009</t>
  </si>
  <si>
    <t>06.08.2008
30.09.2009</t>
  </si>
  <si>
    <t>03.11.2008
30.09.2009</t>
  </si>
  <si>
    <t>01.04.2009
30.09.2009</t>
  </si>
  <si>
    <t>18.05.2009
30.09.2009</t>
  </si>
  <si>
    <t>27.04.2009
30.09.2009</t>
  </si>
  <si>
    <t>09.02.2009
30.09.2009</t>
  </si>
  <si>
    <t>04.03.2009
30.09.2009</t>
  </si>
  <si>
    <t>27.10.2008
30.09.2009</t>
  </si>
  <si>
    <t>01.09.2008
30.09.2009</t>
  </si>
  <si>
    <t>01.05.2008
30.09.2009</t>
  </si>
  <si>
    <t>06.02.2009
30.09.2009</t>
  </si>
  <si>
    <t>04.02.2008
30.09.2009</t>
  </si>
  <si>
    <t>19.02.2009
30.09.2009</t>
  </si>
  <si>
    <t>05.02.2009
30.09.2009</t>
  </si>
  <si>
    <t>11.02.2009
30.09.2009</t>
  </si>
  <si>
    <t>15.12.2008
30.09.2009</t>
  </si>
  <si>
    <t>31.01.2008
30.09.2009</t>
  </si>
  <si>
    <t>25.02.2008
30.09.2009</t>
  </si>
  <si>
    <t>Bitlis-Rahva
3.Etap
Alt Gelir
208 ADET</t>
  </si>
  <si>
    <t>83,68
84,96</t>
  </si>
  <si>
    <t xml:space="preserve">54.532
73.146
</t>
  </si>
  <si>
    <t>267
358</t>
  </si>
  <si>
    <t>27.07.2009
30.09.2009</t>
  </si>
  <si>
    <t>20.07.2009
30.09.2009</t>
  </si>
  <si>
    <t>Manisa-Merkez
3. Etap
Alt Gelir
532 ADET</t>
  </si>
  <si>
    <t>75,00
84,04</t>
  </si>
  <si>
    <t>57.619
79.929</t>
  </si>
  <si>
    <t>287
411</t>
  </si>
  <si>
    <t>Konya-Ereğli
Alt Gelir
588 ADET</t>
  </si>
  <si>
    <t>51.456
68.012</t>
  </si>
  <si>
    <t>252
333</t>
  </si>
  <si>
    <t>Erzurum-Palandöken
312 ADET</t>
  </si>
  <si>
    <t>23.07.2009
30.09.2009</t>
  </si>
  <si>
    <t>Eskişehir-Vadişehir
624 ADET</t>
  </si>
  <si>
    <t>116,05
135,37</t>
  </si>
  <si>
    <t>631
1.259</t>
  </si>
  <si>
    <t>Kahramanmaraş-Serintepe
120 ADET</t>
  </si>
  <si>
    <t>96.345
117.532</t>
  </si>
  <si>
    <t>542
1.102</t>
  </si>
  <si>
    <t>Ankara-Gölbaşı
Örencik
5.386 ADET</t>
  </si>
  <si>
    <t>77.651
179.024</t>
  </si>
  <si>
    <t>Denizli-Kurudere
3.Etap
456 ADET</t>
  </si>
  <si>
    <t>GZS.
KENT.Y.</t>
  </si>
  <si>
    <t>66.437
96.235</t>
  </si>
  <si>
    <t>415
902</t>
  </si>
  <si>
    <t>192
88</t>
  </si>
  <si>
    <t>93,91
196,85</t>
  </si>
  <si>
    <t>575
1.326</t>
  </si>
  <si>
    <t>100.965
126.458</t>
  </si>
  <si>
    <t>Ankara- Haymana
Belediye Projesi
198 ADET</t>
  </si>
  <si>
    <t>50.425
75.767</t>
  </si>
  <si>
    <t>258
399</t>
  </si>
  <si>
    <t>30.07.2009
30.10.2009</t>
  </si>
  <si>
    <t>Bayburt-Demirözü
Belediye Projesi
80 ADET</t>
  </si>
  <si>
    <t>55.887
65.531</t>
  </si>
  <si>
    <t>288
342</t>
  </si>
  <si>
    <t>Bitlis-Adilcevaz
Belediye Projesi
400 ADET</t>
  </si>
  <si>
    <t>81,52
106,63</t>
  </si>
  <si>
    <t>49.573
81.979</t>
  </si>
  <si>
    <t>120
180</t>
  </si>
  <si>
    <t>264
581</t>
  </si>
  <si>
    <t>92.080
233.746</t>
  </si>
  <si>
    <t>391
2.226</t>
  </si>
  <si>
    <t>87.454
133.292</t>
  </si>
  <si>
    <t>328
1.111</t>
  </si>
  <si>
    <t>144.372
239.339</t>
  </si>
  <si>
    <t>812
2.244</t>
  </si>
  <si>
    <t>117.260
163.794</t>
  </si>
  <si>
    <t>553
773</t>
  </si>
  <si>
    <t>89.793
141.675</t>
  </si>
  <si>
    <t>419
1.434</t>
  </si>
  <si>
    <t>84.260
106.541</t>
  </si>
  <si>
    <t>527
999</t>
  </si>
  <si>
    <t>67.764
91.302</t>
  </si>
  <si>
    <t>320
457</t>
  </si>
  <si>
    <t>71.731
94.000</t>
  </si>
  <si>
    <t>448
881</t>
  </si>
  <si>
    <t>80.045
98.652</t>
  </si>
  <si>
    <t>500
925</t>
  </si>
  <si>
    <t>90.499
112.707</t>
  </si>
  <si>
    <t>362
939</t>
  </si>
  <si>
    <t>93.629
156.906</t>
  </si>
  <si>
    <t>375
1.308</t>
  </si>
  <si>
    <t>96.761
113.011</t>
  </si>
  <si>
    <t>544
1.059</t>
  </si>
  <si>
    <t>94.210
110.791</t>
  </si>
  <si>
    <t>377
923</t>
  </si>
  <si>
    <t>89.003
129.860</t>
  </si>
  <si>
    <t>52.711
61.288</t>
  </si>
  <si>
    <t>415
482</t>
  </si>
  <si>
    <t>110.381
164.416</t>
  </si>
  <si>
    <t>469
1.370</t>
  </si>
  <si>
    <t>72.292
86.803</t>
  </si>
  <si>
    <t>452
814</t>
  </si>
  <si>
    <t>116.978
138.273</t>
  </si>
  <si>
    <t>468
1.152</t>
  </si>
  <si>
    <t>67.489
111.919</t>
  </si>
  <si>
    <t>478
793</t>
  </si>
  <si>
    <t>56.331
79.272</t>
  </si>
  <si>
    <t>443
624</t>
  </si>
  <si>
    <t>99.051
118.733</t>
  </si>
  <si>
    <t>619
1.113</t>
  </si>
  <si>
    <t>85.017
129.226</t>
  </si>
  <si>
    <t>531
1.212</t>
  </si>
  <si>
    <t>81.480
112.515</t>
  </si>
  <si>
    <t>509
1.055</t>
  </si>
  <si>
    <t>519
1.082</t>
  </si>
  <si>
    <t>92.977
119.926</t>
  </si>
  <si>
    <t>581
1.124</t>
  </si>
  <si>
    <t>73.958
132.365</t>
  </si>
  <si>
    <t>419
1.103</t>
  </si>
  <si>
    <t>66.631
113.657</t>
  </si>
  <si>
    <t>524
895</t>
  </si>
  <si>
    <t>129.954
160.903</t>
  </si>
  <si>
    <t>572
1.083</t>
  </si>
  <si>
    <t>82.439
117.834</t>
  </si>
  <si>
    <t>515
1.105</t>
  </si>
  <si>
    <t>97.622
120.427</t>
  </si>
  <si>
    <t>553
1.004</t>
  </si>
  <si>
    <t>86.672
111.576</t>
  </si>
  <si>
    <t>491
872</t>
  </si>
  <si>
    <t>89.866
90.781</t>
  </si>
  <si>
    <t>562
851</t>
  </si>
  <si>
    <t>96.050
133.752</t>
  </si>
  <si>
    <t>384
1.115</t>
  </si>
  <si>
    <t>107.155
153.000</t>
  </si>
  <si>
    <t>402
1.275</t>
  </si>
  <si>
    <t>67.956
129.750</t>
  </si>
  <si>
    <t>425
1.215</t>
  </si>
  <si>
    <t>110.260
160.824</t>
  </si>
  <si>
    <t>458
1.339</t>
  </si>
  <si>
    <t>Karaman-Kırbağı
Alt Gelir
880 ADET</t>
  </si>
  <si>
    <t>62.158
80.409</t>
  </si>
  <si>
    <t>193
411</t>
  </si>
  <si>
    <t>03.08.2009
30.09.2009</t>
  </si>
  <si>
    <t>İNŞAAT SEVİYESİ</t>
  </si>
  <si>
    <t>91-98%</t>
  </si>
  <si>
    <t>91-94%</t>
  </si>
  <si>
    <t>89-92%</t>
  </si>
  <si>
    <t>97-99%</t>
  </si>
  <si>
    <t>97
15
20
86
28</t>
  </si>
  <si>
    <t>KUR.
ÖİB.
SSM.
YVG.
İST.UYG.</t>
  </si>
  <si>
    <t>EGM</t>
  </si>
  <si>
    <t>96
108
120
144</t>
  </si>
  <si>
    <t>0-12%</t>
  </si>
  <si>
    <t xml:space="preserve">KUR.
THY
EMN.
JAN.
İST.UYG.
</t>
  </si>
  <si>
    <t xml:space="preserve">364
231
444
576
1.094
</t>
  </si>
  <si>
    <t>22.07.2009
30.09.2009</t>
  </si>
  <si>
    <t>1
32</t>
  </si>
  <si>
    <t>85.694
104.060</t>
  </si>
  <si>
    <t>535
975</t>
  </si>
  <si>
    <t>16
64</t>
  </si>
  <si>
    <t>KUR.
GZT.ÜNİ.</t>
  </si>
  <si>
    <t>152.314
421.307</t>
  </si>
  <si>
    <t>317
2.567</t>
  </si>
  <si>
    <t>98.832
309.786</t>
  </si>
  <si>
    <t>494
5.163</t>
  </si>
  <si>
    <t>135634
289.117</t>
  </si>
  <si>
    <t>543
1.278</t>
  </si>
  <si>
    <t>72.001
93.976</t>
  </si>
  <si>
    <t>450
881</t>
  </si>
  <si>
    <t>92.591
112.983</t>
  </si>
  <si>
    <t>579
1.059</t>
  </si>
  <si>
    <t>İstanbul-Kayabaşı
1.809 ADET</t>
  </si>
  <si>
    <t>24.08.2009
30.09.2009</t>
  </si>
  <si>
    <t>İstanbul-Kayabaşı
Alt Gelir
5.275 ADET</t>
  </si>
  <si>
    <t>66,57
84,37</t>
  </si>
  <si>
    <t>49.000
79.950</t>
  </si>
  <si>
    <t>228
451</t>
  </si>
  <si>
    <t>İstanbul-Kayabaşı
Yoksul Grubu
504 ADET</t>
  </si>
  <si>
    <t>95.019
114.114</t>
  </si>
  <si>
    <t>594
1.070</t>
  </si>
  <si>
    <t>56.506
79.471</t>
  </si>
  <si>
    <t>226
662</t>
  </si>
  <si>
    <t>100.981
156.645</t>
  </si>
  <si>
    <t>572
1.467</t>
  </si>
  <si>
    <t>74.324
115.800</t>
  </si>
  <si>
    <t>286
965</t>
  </si>
  <si>
    <t>833
875</t>
  </si>
  <si>
    <t>144
180</t>
  </si>
  <si>
    <t>26.10.2009
02.11.2009</t>
  </si>
  <si>
    <r>
      <t>***09.07.2009</t>
    </r>
    <r>
      <rPr>
        <b/>
        <sz val="36"/>
        <color indexed="48"/>
        <rFont val="Arial"/>
        <family val="2"/>
      </rPr>
      <t xml:space="preserve"> TARİHLİ AÇIK ARTIRMADA </t>
    </r>
    <r>
      <rPr>
        <b/>
        <sz val="36"/>
        <color indexed="10"/>
        <rFont val="Arial"/>
        <family val="2"/>
      </rPr>
      <t>129</t>
    </r>
    <r>
      <rPr>
        <b/>
        <sz val="36"/>
        <color indexed="48"/>
        <rFont val="Arial"/>
        <family val="2"/>
      </rPr>
      <t xml:space="preserve"> ADET TEKLİF ALINMIŞ OLUP </t>
    </r>
    <r>
      <rPr>
        <b/>
        <sz val="36"/>
        <color indexed="10"/>
        <rFont val="Arial"/>
        <family val="2"/>
      </rPr>
      <t>29.07.2009</t>
    </r>
    <r>
      <rPr>
        <b/>
        <sz val="36"/>
        <color indexed="48"/>
        <rFont val="Arial"/>
        <family val="2"/>
      </rPr>
      <t xml:space="preserve"> TARİHİ İTİBARİ İLE </t>
    </r>
    <r>
      <rPr>
        <b/>
        <sz val="36"/>
        <color indexed="10"/>
        <rFont val="Arial"/>
        <family val="2"/>
      </rPr>
      <t>119</t>
    </r>
    <r>
      <rPr>
        <b/>
        <sz val="36"/>
        <color indexed="48"/>
        <rFont val="Arial"/>
        <family val="2"/>
      </rPr>
      <t xml:space="preserve"> ADET SATIŞ GERÇEKLEŞMİŞTİR.</t>
    </r>
  </si>
  <si>
    <t>23.10.2009
25.10.2009</t>
  </si>
  <si>
    <t>Trabzon-Arsin
184 ADET</t>
  </si>
  <si>
    <t>64.489
85.522</t>
  </si>
  <si>
    <t>403
802</t>
  </si>
  <si>
    <t>24.08.2009
11.09.2009</t>
  </si>
  <si>
    <t>74.564
96.255</t>
  </si>
  <si>
    <t>466
902</t>
  </si>
  <si>
    <t>Yozgat-Merkez
Eskipazar
492 ADET</t>
  </si>
  <si>
    <t>62.094
72.767</t>
  </si>
  <si>
    <t>96
144</t>
  </si>
  <si>
    <t>367
682</t>
  </si>
  <si>
    <t>YVG</t>
  </si>
  <si>
    <t>397
110</t>
  </si>
  <si>
    <t>İstanbul-Bahçeşehir
5. Bölge
201 ADET</t>
  </si>
  <si>
    <t>68,22
225,65</t>
  </si>
  <si>
    <t>124.024
451.307</t>
  </si>
  <si>
    <t>775
2.821</t>
  </si>
  <si>
    <t>26.08.2009
30.09.2009</t>
  </si>
  <si>
    <t>İstanbul-Bahçeşehir
4. Bölge
40 ADET</t>
  </si>
  <si>
    <t>128,89
137,55</t>
  </si>
  <si>
    <t>237.544
309.350</t>
  </si>
  <si>
    <t>1.485
1.933</t>
  </si>
  <si>
    <t>01.09.2009
30.09.2009</t>
  </si>
  <si>
    <t>Diyarbakır-Silvan
2. Etap
Alt Gelir
80 ADET</t>
  </si>
  <si>
    <t>55.662
70.781</t>
  </si>
  <si>
    <t>272
346</t>
  </si>
  <si>
    <t>Konya-Meram
2. Etap
Alt Gelir
256 ADET</t>
  </si>
  <si>
    <t>52.451
73.438</t>
  </si>
  <si>
    <t>256
359</t>
  </si>
  <si>
    <t>Erzurum-Olur
96 ADET</t>
  </si>
  <si>
    <t>81,52
82,12</t>
  </si>
  <si>
    <t>56.362
70.348</t>
  </si>
  <si>
    <t>07.09.2009
31.12.2009</t>
  </si>
  <si>
    <t>302
380</t>
  </si>
  <si>
    <t>Ankara-Kuzey Polatlı
1. Etap
Alt Gelir
192 ADET</t>
  </si>
  <si>
    <t>39.191
42.669</t>
  </si>
  <si>
    <t>192
201</t>
  </si>
  <si>
    <t>Ankara-Kazan
504 ADET</t>
  </si>
  <si>
    <t>74,76
111,18</t>
  </si>
  <si>
    <t>53.473
107.049</t>
  </si>
  <si>
    <t>275
758</t>
  </si>
  <si>
    <t>15.09.2009
31.12.2009</t>
  </si>
  <si>
    <r>
      <t xml:space="preserve">BAŞVURU DÖNEMİ </t>
    </r>
    <r>
      <rPr>
        <b/>
        <sz val="36"/>
        <rFont val="Times New Roman TUR"/>
        <family val="1"/>
      </rPr>
      <t>DEVAM EDEN</t>
    </r>
    <r>
      <rPr>
        <sz val="36"/>
        <rFont val="Arial"/>
        <family val="2"/>
      </rPr>
      <t xml:space="preserve"> PROJELERİ GÖSTERMEKTEDİR.</t>
    </r>
  </si>
  <si>
    <r>
      <t xml:space="preserve">BAŞVURU DÖNEMİ </t>
    </r>
    <r>
      <rPr>
        <b/>
        <sz val="36"/>
        <rFont val="Times New Roman TUR"/>
        <family val="1"/>
      </rPr>
      <t>HENÜZ BAŞLAMAMIŞ</t>
    </r>
    <r>
      <rPr>
        <sz val="36"/>
        <rFont val="Arial"/>
        <family val="2"/>
      </rPr>
      <t xml:space="preserve"> PROJELERİ GÖSTERMEKTEDİR.</t>
    </r>
  </si>
  <si>
    <r>
      <t xml:space="preserve">GÜNLÜK ARTIŞ </t>
    </r>
    <r>
      <rPr>
        <b/>
        <sz val="36"/>
        <rFont val="Times New Roman TUR"/>
        <family val="1"/>
      </rPr>
      <t>1 ADET TEN FAZLA</t>
    </r>
    <r>
      <rPr>
        <b/>
        <sz val="36"/>
        <rFont val="Arial"/>
        <family val="2"/>
      </rPr>
      <t xml:space="preserve"> </t>
    </r>
    <r>
      <rPr>
        <sz val="36"/>
        <rFont val="Arial"/>
        <family val="2"/>
      </rPr>
      <t>OLAN SATIŞ ADETLERİNİ GÖSTERMEKTEDİR.</t>
    </r>
  </si>
  <si>
    <t>01.07.2009
30.09.2009</t>
  </si>
  <si>
    <t>02.09.2009
30.09.2009</t>
  </si>
  <si>
    <t>02.09.2008
30.09.2009</t>
  </si>
  <si>
    <t>69.964
84.263</t>
  </si>
  <si>
    <t>342
412</t>
  </si>
  <si>
    <t>76.552
81.137</t>
  </si>
  <si>
    <t>374
397</t>
  </si>
  <si>
    <t>Edirne-Keşan
Beğendik
456 ADET</t>
  </si>
  <si>
    <t>84,43
120,18</t>
  </si>
  <si>
    <t>53.973
95.582</t>
  </si>
  <si>
    <t>289
686</t>
  </si>
  <si>
    <t>Edirne-Keşan
Yenimuhacir
240 ADET</t>
  </si>
  <si>
    <t>77,96
106,63</t>
  </si>
  <si>
    <t>63.396
99.492</t>
  </si>
  <si>
    <t>341
705</t>
  </si>
  <si>
    <t>Giresun-Alucra
160 ADET</t>
  </si>
  <si>
    <t>60.010
90.445</t>
  </si>
  <si>
    <t>322
534</t>
  </si>
  <si>
    <t>78.137
109.612</t>
  </si>
  <si>
    <t>483
806</t>
  </si>
  <si>
    <t>Ankara-Kuzey Polatlı
1. Etap
200 ADET</t>
  </si>
  <si>
    <t>57.514
66.641</t>
  </si>
  <si>
    <t>359
624</t>
  </si>
  <si>
    <t>30.09.2009
31.12.2009</t>
  </si>
  <si>
    <t>Sinop-Merkez
80 ADET</t>
  </si>
  <si>
    <t>73.720
95.400</t>
  </si>
  <si>
    <t>460
859</t>
  </si>
  <si>
    <t>BAŞVURU SAYISI
10.09.2009</t>
  </si>
  <si>
    <t>3
3</t>
  </si>
  <si>
    <t>A. ART.
KUR.</t>
  </si>
  <si>
    <t>BAŞVURU SAYISI
11.09.2009</t>
  </si>
  <si>
    <t>*İstanbul Halkalı Projesinde Remax Armoni Gayr. Danş. İnş. Tc. Ltd. Şti aracılığıyla satışa arz edilen toplam 100 adet konut ile ilgili olarak 11.09.2009 tarihine kadar  9 adet satış yapılmıştır.</t>
  </si>
  <si>
    <t>**Antalya Çıplaklı Projesinde Remax Armoni Gayr. Danş. İnş. Tc. Ltd. Şti aracılığıyla satışa arz edilen toplam 46 adet konut ile ilgili olarak 11.09.2009 tarihine kadar  henüz satış yapılmamıştır.</t>
  </si>
  <si>
    <t>Ankara-Protokol
Yolu
Karacaören
2.464 ADET</t>
  </si>
  <si>
    <t>1.451
113
60
48</t>
  </si>
  <si>
    <t xml:space="preserve">
KENT.Y.
KUR.
TOBAŞ
S.S.G.
Y. KOOP.
</t>
  </si>
  <si>
    <t>94,91
95,43</t>
  </si>
  <si>
    <t>56.624
72.324</t>
  </si>
  <si>
    <t>354
678</t>
  </si>
  <si>
    <t>05.10.2009
30.10.2009</t>
  </si>
  <si>
    <t>97-
100%</t>
  </si>
  <si>
    <t>Açık Artırma
Muhtelif Konut ve
İşyerleri
623 ADET</t>
  </si>
  <si>
    <t>14.09.2009
29.09.2009</t>
  </si>
  <si>
    <t>AÇIK
ARTIRMA
29.09.2009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</si>
</sst>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&quot;TOPLAM &quot;#,##0\ &quot; ADET&quot;"/>
    <numFmt numFmtId="190" formatCode="&quot;TOPLAM &quot;\ #,##0"/>
    <numFmt numFmtId="191" formatCode="mmm/yyyy"/>
    <numFmt numFmtId="192" formatCode="#,##0.00;[Red]#,##0.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12"/>
      <name val="Times New Roman"/>
      <family val="1"/>
    </font>
    <font>
      <sz val="26"/>
      <name val="Arial"/>
      <family val="2"/>
    </font>
    <font>
      <sz val="24"/>
      <name val="Arial"/>
      <family val="0"/>
    </font>
    <font>
      <b/>
      <sz val="34"/>
      <name val="Verdana"/>
      <family val="2"/>
    </font>
    <font>
      <sz val="27"/>
      <color indexed="8"/>
      <name val="Arial"/>
      <family val="2"/>
    </font>
    <font>
      <sz val="27"/>
      <name val="Arial"/>
      <family val="0"/>
    </font>
    <font>
      <sz val="27"/>
      <color indexed="10"/>
      <name val="Arial"/>
      <family val="0"/>
    </font>
    <font>
      <b/>
      <sz val="36"/>
      <name val="Arial"/>
      <family val="0"/>
    </font>
    <font>
      <sz val="36"/>
      <name val="Arial"/>
      <family val="0"/>
    </font>
    <font>
      <sz val="28"/>
      <name val="Arial"/>
      <family val="0"/>
    </font>
    <font>
      <b/>
      <sz val="36"/>
      <color indexed="10"/>
      <name val="Verdana"/>
      <family val="2"/>
    </font>
    <font>
      <sz val="31"/>
      <name val="Arial"/>
      <family val="0"/>
    </font>
    <font>
      <b/>
      <sz val="36"/>
      <color indexed="8"/>
      <name val="Arial"/>
      <family val="2"/>
    </font>
    <font>
      <b/>
      <sz val="28"/>
      <color indexed="8"/>
      <name val="Arial"/>
      <family val="2"/>
    </font>
    <font>
      <b/>
      <sz val="36"/>
      <color indexed="10"/>
      <name val="Arial"/>
      <family val="2"/>
    </font>
    <font>
      <b/>
      <sz val="36"/>
      <color indexed="48"/>
      <name val="Arial"/>
      <family val="2"/>
    </font>
    <font>
      <sz val="8"/>
      <name val="Tahoma"/>
      <family val="2"/>
    </font>
    <font>
      <b/>
      <sz val="24"/>
      <name val="Verdana"/>
      <family val="2"/>
    </font>
    <font>
      <b/>
      <sz val="36"/>
      <name val="Verdana"/>
      <family val="2"/>
    </font>
    <font>
      <b/>
      <sz val="36"/>
      <color indexed="8"/>
      <name val="Verdana"/>
      <family val="2"/>
    </font>
    <font>
      <sz val="36"/>
      <color indexed="8"/>
      <name val="Arial"/>
      <family val="0"/>
    </font>
    <font>
      <b/>
      <sz val="36"/>
      <name val="Times New Roman TUR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3" fontId="10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3" borderId="0" xfId="0" applyFont="1" applyFill="1" applyAlignment="1">
      <alignment/>
    </xf>
    <xf numFmtId="3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/>
    </xf>
    <xf numFmtId="3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3" fontId="10" fillId="2" borderId="2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9" fillId="5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14" fontId="25" fillId="6" borderId="4" xfId="0" applyNumberFormat="1" applyFont="1" applyFill="1" applyBorder="1" applyAlignment="1">
      <alignment horizontal="center" vertical="center" wrapText="1"/>
    </xf>
    <xf numFmtId="3" fontId="25" fillId="6" borderId="4" xfId="0" applyNumberFormat="1" applyFont="1" applyFill="1" applyBorder="1" applyAlignment="1">
      <alignment horizontal="center" vertical="center"/>
    </xf>
    <xf numFmtId="9" fontId="25" fillId="6" borderId="4" xfId="0" applyNumberFormat="1" applyFont="1" applyFill="1" applyBorder="1" applyAlignment="1">
      <alignment horizontal="center" vertical="center"/>
    </xf>
    <xf numFmtId="3" fontId="25" fillId="6" borderId="4" xfId="0" applyNumberFormat="1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/>
    </xf>
    <xf numFmtId="3" fontId="24" fillId="6" borderId="4" xfId="0" applyNumberFormat="1" applyFont="1" applyFill="1" applyBorder="1" applyAlignment="1">
      <alignment horizontal="center" vertical="center" wrapText="1"/>
    </xf>
    <xf numFmtId="3" fontId="24" fillId="6" borderId="4" xfId="0" applyNumberFormat="1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/>
    </xf>
    <xf numFmtId="0" fontId="24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/>
    </xf>
    <xf numFmtId="2" fontId="25" fillId="6" borderId="4" xfId="0" applyNumberFormat="1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3" fontId="25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2" fontId="25" fillId="4" borderId="4" xfId="0" applyNumberFormat="1" applyFont="1" applyFill="1" applyBorder="1" applyAlignment="1">
      <alignment horizontal="center" vertical="center" wrapText="1"/>
    </xf>
    <xf numFmtId="14" fontId="25" fillId="4" borderId="4" xfId="0" applyNumberFormat="1" applyFont="1" applyFill="1" applyBorder="1" applyAlignment="1">
      <alignment horizontal="center" vertical="center" wrapText="1"/>
    </xf>
    <xf numFmtId="3" fontId="25" fillId="4" borderId="4" xfId="0" applyNumberFormat="1" applyFont="1" applyFill="1" applyBorder="1" applyAlignment="1">
      <alignment horizontal="center" vertical="center"/>
    </xf>
    <xf numFmtId="9" fontId="25" fillId="4" borderId="4" xfId="0" applyNumberFormat="1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14" fontId="24" fillId="6" borderId="4" xfId="0" applyNumberFormat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3" fontId="25" fillId="5" borderId="4" xfId="0" applyNumberFormat="1" applyFont="1" applyFill="1" applyBorder="1" applyAlignment="1">
      <alignment horizontal="center" vertical="center" wrapText="1"/>
    </xf>
    <xf numFmtId="3" fontId="24" fillId="5" borderId="4" xfId="0" applyNumberFormat="1" applyFont="1" applyFill="1" applyBorder="1" applyAlignment="1">
      <alignment horizontal="center" vertical="center" wrapText="1"/>
    </xf>
    <xf numFmtId="3" fontId="24" fillId="5" borderId="4" xfId="0" applyNumberFormat="1" applyFont="1" applyFill="1" applyBorder="1" applyAlignment="1">
      <alignment horizontal="center" vertical="center"/>
    </xf>
    <xf numFmtId="3" fontId="25" fillId="5" borderId="4" xfId="0" applyNumberFormat="1" applyFont="1" applyFill="1" applyBorder="1" applyAlignment="1">
      <alignment horizontal="center" vertical="center"/>
    </xf>
    <xf numFmtId="14" fontId="25" fillId="5" borderId="4" xfId="0" applyNumberFormat="1" applyFont="1" applyFill="1" applyBorder="1" applyAlignment="1">
      <alignment horizontal="center" vertical="center" wrapText="1"/>
    </xf>
    <xf numFmtId="9" fontId="25" fillId="5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/>
    </xf>
    <xf numFmtId="0" fontId="25" fillId="6" borderId="4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/>
    </xf>
    <xf numFmtId="14" fontId="25" fillId="7" borderId="4" xfId="0" applyNumberFormat="1" applyFont="1" applyFill="1" applyBorder="1" applyAlignment="1">
      <alignment horizontal="center" vertical="center" wrapText="1"/>
    </xf>
    <xf numFmtId="3" fontId="25" fillId="7" borderId="4" xfId="0" applyNumberFormat="1" applyFont="1" applyFill="1" applyBorder="1" applyAlignment="1">
      <alignment horizontal="center" vertical="center"/>
    </xf>
    <xf numFmtId="3" fontId="25" fillId="7" borderId="4" xfId="0" applyNumberFormat="1" applyFont="1" applyFill="1" applyBorder="1" applyAlignment="1">
      <alignment horizontal="center" vertical="center" wrapText="1"/>
    </xf>
    <xf numFmtId="9" fontId="25" fillId="7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9" fontId="24" fillId="6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/>
    </xf>
    <xf numFmtId="0" fontId="16" fillId="8" borderId="4" xfId="0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9" fontId="25" fillId="4" borderId="4" xfId="0" applyNumberFormat="1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189" fontId="16" fillId="8" borderId="6" xfId="0" applyNumberFormat="1" applyFont="1" applyFill="1" applyBorder="1" applyAlignment="1">
      <alignment horizontal="center" vertical="center"/>
    </xf>
    <xf numFmtId="189" fontId="16" fillId="8" borderId="2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426</xdr:row>
      <xdr:rowOff>38100</xdr:rowOff>
    </xdr:from>
    <xdr:to>
      <xdr:col>15</xdr:col>
      <xdr:colOff>1905000</xdr:colOff>
      <xdr:row>426</xdr:row>
      <xdr:rowOff>38100</xdr:rowOff>
    </xdr:to>
    <xdr:sp>
      <xdr:nvSpPr>
        <xdr:cNvPr id="1" name="Line 125"/>
        <xdr:cNvSpPr>
          <a:spLocks/>
        </xdr:cNvSpPr>
      </xdr:nvSpPr>
      <xdr:spPr>
        <a:xfrm flipH="1">
          <a:off x="32594550" y="367255425"/>
          <a:ext cx="1104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904875</xdr:colOff>
      <xdr:row>426</xdr:row>
      <xdr:rowOff>38100</xdr:rowOff>
    </xdr:from>
    <xdr:to>
      <xdr:col>15</xdr:col>
      <xdr:colOff>1905000</xdr:colOff>
      <xdr:row>426</xdr:row>
      <xdr:rowOff>38100</xdr:rowOff>
    </xdr:to>
    <xdr:sp>
      <xdr:nvSpPr>
        <xdr:cNvPr id="2" name="Line 126"/>
        <xdr:cNvSpPr>
          <a:spLocks/>
        </xdr:cNvSpPr>
      </xdr:nvSpPr>
      <xdr:spPr>
        <a:xfrm flipH="1">
          <a:off x="32594550" y="367255425"/>
          <a:ext cx="1104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1162050</xdr:colOff>
      <xdr:row>449</xdr:row>
      <xdr:rowOff>28575</xdr:rowOff>
    </xdr:from>
    <xdr:to>
      <xdr:col>15</xdr:col>
      <xdr:colOff>552450</xdr:colOff>
      <xdr:row>449</xdr:row>
      <xdr:rowOff>28575</xdr:rowOff>
    </xdr:to>
    <xdr:sp>
      <xdr:nvSpPr>
        <xdr:cNvPr id="3" name="Line 127"/>
        <xdr:cNvSpPr>
          <a:spLocks/>
        </xdr:cNvSpPr>
      </xdr:nvSpPr>
      <xdr:spPr>
        <a:xfrm flipH="1">
          <a:off x="29298900" y="370970175"/>
          <a:ext cx="1299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174</xdr:row>
      <xdr:rowOff>152400</xdr:rowOff>
    </xdr:from>
    <xdr:to>
      <xdr:col>0</xdr:col>
      <xdr:colOff>390525</xdr:colOff>
      <xdr:row>175</xdr:row>
      <xdr:rowOff>47625</xdr:rowOff>
    </xdr:to>
    <xdr:sp>
      <xdr:nvSpPr>
        <xdr:cNvPr id="4" name="Rectangle 143"/>
        <xdr:cNvSpPr>
          <a:spLocks/>
        </xdr:cNvSpPr>
      </xdr:nvSpPr>
      <xdr:spPr>
        <a:xfrm>
          <a:off x="123825" y="277987125"/>
          <a:ext cx="266700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120</xdr:row>
      <xdr:rowOff>0</xdr:rowOff>
    </xdr:from>
    <xdr:to>
      <xdr:col>0</xdr:col>
      <xdr:colOff>381000</xdr:colOff>
      <xdr:row>120</xdr:row>
      <xdr:rowOff>0</xdr:rowOff>
    </xdr:to>
    <xdr:sp>
      <xdr:nvSpPr>
        <xdr:cNvPr id="5" name="Rectangle 445"/>
        <xdr:cNvSpPr>
          <a:spLocks/>
        </xdr:cNvSpPr>
      </xdr:nvSpPr>
      <xdr:spPr>
        <a:xfrm>
          <a:off x="133350" y="248793000"/>
          <a:ext cx="24765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120</xdr:row>
      <xdr:rowOff>0</xdr:rowOff>
    </xdr:from>
    <xdr:to>
      <xdr:col>0</xdr:col>
      <xdr:colOff>381000</xdr:colOff>
      <xdr:row>120</xdr:row>
      <xdr:rowOff>0</xdr:rowOff>
    </xdr:to>
    <xdr:sp>
      <xdr:nvSpPr>
        <xdr:cNvPr id="6" name="Rectangle 446"/>
        <xdr:cNvSpPr>
          <a:spLocks/>
        </xdr:cNvSpPr>
      </xdr:nvSpPr>
      <xdr:spPr>
        <a:xfrm>
          <a:off x="133350" y="248793000"/>
          <a:ext cx="24765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140</xdr:row>
      <xdr:rowOff>0</xdr:rowOff>
    </xdr:from>
    <xdr:to>
      <xdr:col>1</xdr:col>
      <xdr:colOff>142875</xdr:colOff>
      <xdr:row>140</xdr:row>
      <xdr:rowOff>0</xdr:rowOff>
    </xdr:to>
    <xdr:sp>
      <xdr:nvSpPr>
        <xdr:cNvPr id="7" name="Rectangle 721"/>
        <xdr:cNvSpPr>
          <a:spLocks/>
        </xdr:cNvSpPr>
      </xdr:nvSpPr>
      <xdr:spPr>
        <a:xfrm>
          <a:off x="838200" y="264233025"/>
          <a:ext cx="70485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161925</xdr:rowOff>
    </xdr:from>
    <xdr:to>
      <xdr:col>0</xdr:col>
      <xdr:colOff>400050</xdr:colOff>
      <xdr:row>486</xdr:row>
      <xdr:rowOff>161925</xdr:rowOff>
    </xdr:to>
    <xdr:sp>
      <xdr:nvSpPr>
        <xdr:cNvPr id="8" name="Rectangle 723"/>
        <xdr:cNvSpPr>
          <a:spLocks/>
        </xdr:cNvSpPr>
      </xdr:nvSpPr>
      <xdr:spPr>
        <a:xfrm>
          <a:off x="152400" y="377094750"/>
          <a:ext cx="24765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486</xdr:row>
      <xdr:rowOff>161925</xdr:rowOff>
    </xdr:from>
    <xdr:to>
      <xdr:col>0</xdr:col>
      <xdr:colOff>400050</xdr:colOff>
      <xdr:row>486</xdr:row>
      <xdr:rowOff>161925</xdr:rowOff>
    </xdr:to>
    <xdr:sp>
      <xdr:nvSpPr>
        <xdr:cNvPr id="9" name="Rectangle 724"/>
        <xdr:cNvSpPr>
          <a:spLocks/>
        </xdr:cNvSpPr>
      </xdr:nvSpPr>
      <xdr:spPr>
        <a:xfrm>
          <a:off x="152400" y="377094750"/>
          <a:ext cx="24765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124</xdr:row>
      <xdr:rowOff>114300</xdr:rowOff>
    </xdr:from>
    <xdr:to>
      <xdr:col>0</xdr:col>
      <xdr:colOff>876300</xdr:colOff>
      <xdr:row>124</xdr:row>
      <xdr:rowOff>457200</xdr:rowOff>
    </xdr:to>
    <xdr:sp>
      <xdr:nvSpPr>
        <xdr:cNvPr id="10" name="Rectangle 743"/>
        <xdr:cNvSpPr>
          <a:spLocks/>
        </xdr:cNvSpPr>
      </xdr:nvSpPr>
      <xdr:spPr>
        <a:xfrm>
          <a:off x="381000" y="253336425"/>
          <a:ext cx="495300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125</xdr:row>
      <xdr:rowOff>114300</xdr:rowOff>
    </xdr:from>
    <xdr:to>
      <xdr:col>0</xdr:col>
      <xdr:colOff>914400</xdr:colOff>
      <xdr:row>125</xdr:row>
      <xdr:rowOff>381000</xdr:rowOff>
    </xdr:to>
    <xdr:sp>
      <xdr:nvSpPr>
        <xdr:cNvPr id="11" name="Rectangle 744"/>
        <xdr:cNvSpPr>
          <a:spLocks/>
        </xdr:cNvSpPr>
      </xdr:nvSpPr>
      <xdr:spPr>
        <a:xfrm>
          <a:off x="419100" y="253907925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685800</xdr:colOff>
      <xdr:row>141</xdr:row>
      <xdr:rowOff>228600</xdr:rowOff>
    </xdr:from>
    <xdr:to>
      <xdr:col>2</xdr:col>
      <xdr:colOff>952500</xdr:colOff>
      <xdr:row>141</xdr:row>
      <xdr:rowOff>266700</xdr:rowOff>
    </xdr:to>
    <xdr:pic>
      <xdr:nvPicPr>
        <xdr:cNvPr id="12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64861675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126</xdr:row>
      <xdr:rowOff>76200</xdr:rowOff>
    </xdr:from>
    <xdr:to>
      <xdr:col>0</xdr:col>
      <xdr:colOff>876300</xdr:colOff>
      <xdr:row>126</xdr:row>
      <xdr:rowOff>342900</xdr:rowOff>
    </xdr:to>
    <xdr:sp>
      <xdr:nvSpPr>
        <xdr:cNvPr id="13" name="Rectangle 747"/>
        <xdr:cNvSpPr>
          <a:spLocks/>
        </xdr:cNvSpPr>
      </xdr:nvSpPr>
      <xdr:spPr>
        <a:xfrm>
          <a:off x="381000" y="254393700"/>
          <a:ext cx="495300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141</xdr:row>
      <xdr:rowOff>76200</xdr:rowOff>
    </xdr:from>
    <xdr:to>
      <xdr:col>1</xdr:col>
      <xdr:colOff>723900</xdr:colOff>
      <xdr:row>141</xdr:row>
      <xdr:rowOff>342900</xdr:rowOff>
    </xdr:to>
    <xdr:sp>
      <xdr:nvSpPr>
        <xdr:cNvPr id="14" name="Rectangle 748"/>
        <xdr:cNvSpPr>
          <a:spLocks/>
        </xdr:cNvSpPr>
      </xdr:nvSpPr>
      <xdr:spPr>
        <a:xfrm>
          <a:off x="1628775" y="264709275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144</xdr:row>
      <xdr:rowOff>76200</xdr:rowOff>
    </xdr:from>
    <xdr:to>
      <xdr:col>1</xdr:col>
      <xdr:colOff>876300</xdr:colOff>
      <xdr:row>144</xdr:row>
      <xdr:rowOff>342900</xdr:rowOff>
    </xdr:to>
    <xdr:sp>
      <xdr:nvSpPr>
        <xdr:cNvPr id="15" name="Rectangle 755"/>
        <xdr:cNvSpPr>
          <a:spLocks/>
        </xdr:cNvSpPr>
      </xdr:nvSpPr>
      <xdr:spPr>
        <a:xfrm>
          <a:off x="1781175" y="2659094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127</xdr:row>
      <xdr:rowOff>0</xdr:rowOff>
    </xdr:from>
    <xdr:to>
      <xdr:col>0</xdr:col>
      <xdr:colOff>876300</xdr:colOff>
      <xdr:row>127</xdr:row>
      <xdr:rowOff>0</xdr:rowOff>
    </xdr:to>
    <xdr:sp>
      <xdr:nvSpPr>
        <xdr:cNvPr id="16" name="Rectangle 1012"/>
        <xdr:cNvSpPr>
          <a:spLocks/>
        </xdr:cNvSpPr>
      </xdr:nvSpPr>
      <xdr:spPr>
        <a:xfrm>
          <a:off x="381000" y="254841375"/>
          <a:ext cx="495300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685800</xdr:colOff>
      <xdr:row>127</xdr:row>
      <xdr:rowOff>0</xdr:rowOff>
    </xdr:from>
    <xdr:to>
      <xdr:col>1</xdr:col>
      <xdr:colOff>952500</xdr:colOff>
      <xdr:row>127</xdr:row>
      <xdr:rowOff>38100</xdr:rowOff>
    </xdr:to>
    <xdr:pic>
      <xdr:nvPicPr>
        <xdr:cNvPr id="1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54841375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127</xdr:row>
      <xdr:rowOff>152400</xdr:rowOff>
    </xdr:from>
    <xdr:to>
      <xdr:col>0</xdr:col>
      <xdr:colOff>838200</xdr:colOff>
      <xdr:row>127</xdr:row>
      <xdr:rowOff>419100</xdr:rowOff>
    </xdr:to>
    <xdr:sp>
      <xdr:nvSpPr>
        <xdr:cNvPr id="18" name="Rectangle 1014"/>
        <xdr:cNvSpPr>
          <a:spLocks/>
        </xdr:cNvSpPr>
      </xdr:nvSpPr>
      <xdr:spPr>
        <a:xfrm>
          <a:off x="342900" y="25499377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128</xdr:row>
      <xdr:rowOff>76200</xdr:rowOff>
    </xdr:from>
    <xdr:to>
      <xdr:col>0</xdr:col>
      <xdr:colOff>800100</xdr:colOff>
      <xdr:row>128</xdr:row>
      <xdr:rowOff>342900</xdr:rowOff>
    </xdr:to>
    <xdr:sp>
      <xdr:nvSpPr>
        <xdr:cNvPr id="19" name="Rectangle 1015"/>
        <xdr:cNvSpPr>
          <a:spLocks/>
        </xdr:cNvSpPr>
      </xdr:nvSpPr>
      <xdr:spPr>
        <a:xfrm>
          <a:off x="304800" y="25544145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685800</xdr:colOff>
      <xdr:row>128</xdr:row>
      <xdr:rowOff>228600</xdr:rowOff>
    </xdr:from>
    <xdr:to>
      <xdr:col>1</xdr:col>
      <xdr:colOff>952500</xdr:colOff>
      <xdr:row>128</xdr:row>
      <xdr:rowOff>266700</xdr:rowOff>
    </xdr:to>
    <xdr:pic>
      <xdr:nvPicPr>
        <xdr:cNvPr id="2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55593850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5"/>
  <sheetViews>
    <sheetView showGridLines="0" tabSelected="1" view="pageBreakPreview" zoomScale="25" zoomScaleNormal="25" zoomScaleSheetLayoutView="25" workbookViewId="0" topLeftCell="A1">
      <pane xSplit="2" ySplit="3" topLeftCell="C1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1" sqref="A131:IV145"/>
    </sheetView>
  </sheetViews>
  <sheetFormatPr defaultColWidth="9.140625" defaultRowHeight="12.75"/>
  <cols>
    <col min="1" max="1" width="21.00390625" style="1" customWidth="1"/>
    <col min="2" max="2" width="71.8515625" style="10" customWidth="1"/>
    <col min="3" max="3" width="28.57421875" style="1" customWidth="1"/>
    <col min="4" max="4" width="35.421875" style="1" customWidth="1"/>
    <col min="5" max="5" width="50.8515625" style="1" customWidth="1"/>
    <col min="6" max="6" width="37.8515625" style="1" customWidth="1"/>
    <col min="7" max="7" width="40.00390625" style="1" customWidth="1"/>
    <col min="8" max="8" width="58.421875" style="1" customWidth="1"/>
    <col min="9" max="9" width="38.421875" style="1" customWidth="1"/>
    <col min="10" max="10" width="39.57421875" style="1" customWidth="1"/>
    <col min="11" max="11" width="53.28125" style="1" customWidth="1"/>
    <col min="12" max="12" width="49.421875" style="1" customWidth="1"/>
    <col min="13" max="13" width="40.57421875" style="1" customWidth="1"/>
    <col min="14" max="14" width="25.7109375" style="1" customWidth="1"/>
    <col min="15" max="15" width="35.00390625" style="1" customWidth="1"/>
    <col min="16" max="16" width="51.140625" style="1" customWidth="1"/>
    <col min="17" max="17" width="54.421875" style="4" customWidth="1"/>
    <col min="18" max="18" width="37.7109375" style="1" customWidth="1"/>
    <col min="19" max="19" width="34.8515625" style="1" customWidth="1"/>
    <col min="20" max="20" width="37.140625" style="1" customWidth="1"/>
    <col min="21" max="21" width="38.28125" style="1" customWidth="1"/>
    <col min="22" max="22" width="9.00390625" style="15" customWidth="1"/>
    <col min="23" max="23" width="27.140625" style="9" customWidth="1"/>
    <col min="24" max="24" width="5.140625" style="1" customWidth="1"/>
    <col min="25" max="25" width="27.57421875" style="5" customWidth="1"/>
    <col min="26" max="26" width="9.8515625" style="5" bestFit="1" customWidth="1"/>
    <col min="27" max="27" width="9.140625" style="1" customWidth="1"/>
    <col min="28" max="28" width="12.7109375" style="5" customWidth="1"/>
    <col min="29" max="16384" width="9.140625" style="1" customWidth="1"/>
  </cols>
  <sheetData>
    <row r="1" spans="1:21" ht="86.25" customHeight="1" thickBot="1" thickTop="1">
      <c r="A1" s="131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50"/>
    </row>
    <row r="2" spans="1:17" ht="9" customHeight="1" thickTop="1">
      <c r="A2" s="2"/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64" ht="149.25" customHeight="1">
      <c r="A3" s="51" t="s">
        <v>2</v>
      </c>
      <c r="B3" s="51" t="s">
        <v>8</v>
      </c>
      <c r="C3" s="51" t="s">
        <v>17</v>
      </c>
      <c r="D3" s="51" t="s">
        <v>1</v>
      </c>
      <c r="E3" s="51" t="s">
        <v>3</v>
      </c>
      <c r="F3" s="51" t="s">
        <v>15</v>
      </c>
      <c r="G3" s="51" t="s">
        <v>16</v>
      </c>
      <c r="H3" s="51" t="s">
        <v>19</v>
      </c>
      <c r="I3" s="51" t="s">
        <v>274</v>
      </c>
      <c r="J3" s="51" t="s">
        <v>273</v>
      </c>
      <c r="K3" s="51" t="s">
        <v>4</v>
      </c>
      <c r="L3" s="51" t="s">
        <v>5</v>
      </c>
      <c r="M3" s="51" t="s">
        <v>275</v>
      </c>
      <c r="N3" s="51" t="s">
        <v>12</v>
      </c>
      <c r="O3" s="51" t="s">
        <v>11</v>
      </c>
      <c r="P3" s="51" t="s">
        <v>0</v>
      </c>
      <c r="Q3" s="51" t="s">
        <v>6</v>
      </c>
      <c r="R3" s="51" t="s">
        <v>564</v>
      </c>
      <c r="S3" s="51" t="s">
        <v>567</v>
      </c>
      <c r="T3" s="51" t="s">
        <v>7</v>
      </c>
      <c r="U3" s="51" t="s">
        <v>445</v>
      </c>
      <c r="V3" s="16"/>
      <c r="W3" s="5"/>
      <c r="X3" s="5"/>
      <c r="Z3" s="12"/>
      <c r="AA3" s="11"/>
      <c r="AB3" s="12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ht="182.25" customHeight="1">
      <c r="A4" s="127">
        <v>1</v>
      </c>
      <c r="B4" s="127" t="s">
        <v>578</v>
      </c>
      <c r="C4" s="128">
        <v>9</v>
      </c>
      <c r="D4" s="128" t="s">
        <v>206</v>
      </c>
      <c r="E4" s="127">
        <v>623</v>
      </c>
      <c r="F4" s="128"/>
      <c r="G4" s="128"/>
      <c r="H4" s="127">
        <v>0</v>
      </c>
      <c r="I4" s="128">
        <v>623</v>
      </c>
      <c r="J4" s="128">
        <v>623</v>
      </c>
      <c r="K4" s="128"/>
      <c r="L4" s="128"/>
      <c r="M4" s="128"/>
      <c r="N4" s="127"/>
      <c r="O4" s="128"/>
      <c r="P4" s="128" t="s">
        <v>579</v>
      </c>
      <c r="Q4" s="127" t="s">
        <v>580</v>
      </c>
      <c r="R4" s="128"/>
      <c r="S4" s="128"/>
      <c r="T4" s="127"/>
      <c r="U4" s="127"/>
      <c r="V4" s="16"/>
      <c r="W4" s="18">
        <f aca="true" t="shared" si="0" ref="W4:W105">+S4-R4</f>
        <v>0</v>
      </c>
      <c r="X4" s="5"/>
      <c r="Z4" s="12"/>
      <c r="AA4" s="11"/>
      <c r="AB4" s="12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22" customFormat="1" ht="189" customHeight="1">
      <c r="A5" s="53">
        <f>A4+1</f>
        <v>2</v>
      </c>
      <c r="B5" s="53" t="s">
        <v>166</v>
      </c>
      <c r="C5" s="54">
        <v>5</v>
      </c>
      <c r="D5" s="54" t="s">
        <v>10</v>
      </c>
      <c r="E5" s="53">
        <v>184</v>
      </c>
      <c r="F5" s="53"/>
      <c r="G5" s="53"/>
      <c r="H5" s="53">
        <v>51</v>
      </c>
      <c r="I5" s="53">
        <v>133</v>
      </c>
      <c r="J5" s="53"/>
      <c r="K5" s="53">
        <f>55+40</f>
        <v>95</v>
      </c>
      <c r="L5" s="53" t="s">
        <v>150</v>
      </c>
      <c r="M5" s="53" t="s">
        <v>148</v>
      </c>
      <c r="N5" s="53">
        <v>180</v>
      </c>
      <c r="O5" s="53" t="s">
        <v>149</v>
      </c>
      <c r="P5" s="53" t="s">
        <v>288</v>
      </c>
      <c r="Q5" s="55" t="s">
        <v>14</v>
      </c>
      <c r="R5" s="53">
        <v>49</v>
      </c>
      <c r="S5" s="53">
        <v>49</v>
      </c>
      <c r="T5" s="56">
        <f>+K5-S5</f>
        <v>46</v>
      </c>
      <c r="U5" s="57" t="s">
        <v>446</v>
      </c>
      <c r="V5" s="52">
        <f aca="true" t="shared" si="1" ref="V5:V90">+IF(S5-R5&gt;0,"+","")</f>
      </c>
      <c r="W5" s="18">
        <f t="shared" si="0"/>
        <v>0</v>
      </c>
      <c r="X5" s="19"/>
      <c r="Y5" s="19"/>
      <c r="Z5" s="20"/>
      <c r="AA5" s="21"/>
      <c r="AB5" s="20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</row>
    <row r="6" spans="1:28" s="25" customFormat="1" ht="150" customHeight="1">
      <c r="A6" s="53">
        <f aca="true" t="shared" si="2" ref="A6:A58">A5+1</f>
        <v>3</v>
      </c>
      <c r="B6" s="53" t="s">
        <v>264</v>
      </c>
      <c r="C6" s="54">
        <v>3</v>
      </c>
      <c r="D6" s="54" t="s">
        <v>9</v>
      </c>
      <c r="E6" s="58">
        <v>1084</v>
      </c>
      <c r="F6" s="54"/>
      <c r="G6" s="54"/>
      <c r="H6" s="54">
        <f>170-38</f>
        <v>132</v>
      </c>
      <c r="I6" s="56">
        <f>914+38</f>
        <v>952</v>
      </c>
      <c r="J6" s="59"/>
      <c r="K6" s="59">
        <f>368+98+308+38+70</f>
        <v>882</v>
      </c>
      <c r="L6" s="54">
        <v>147.32</v>
      </c>
      <c r="M6" s="58" t="s">
        <v>410</v>
      </c>
      <c r="N6" s="54" t="s">
        <v>13</v>
      </c>
      <c r="O6" s="54" t="s">
        <v>411</v>
      </c>
      <c r="P6" s="53" t="s">
        <v>289</v>
      </c>
      <c r="Q6" s="55" t="s">
        <v>14</v>
      </c>
      <c r="R6" s="53">
        <v>710</v>
      </c>
      <c r="S6" s="53">
        <v>710</v>
      </c>
      <c r="T6" s="56">
        <f>+K6-S6</f>
        <v>172</v>
      </c>
      <c r="U6" s="57">
        <v>0.91</v>
      </c>
      <c r="V6" s="52">
        <f t="shared" si="1"/>
      </c>
      <c r="W6" s="18">
        <f t="shared" si="0"/>
        <v>0</v>
      </c>
      <c r="X6" s="23"/>
      <c r="Y6" s="23"/>
      <c r="Z6" s="24"/>
      <c r="AB6" s="24"/>
    </row>
    <row r="7" spans="1:28" s="25" customFormat="1" ht="183" customHeight="1">
      <c r="A7" s="53">
        <f>A6+1</f>
        <v>4</v>
      </c>
      <c r="B7" s="53" t="s">
        <v>30</v>
      </c>
      <c r="C7" s="54">
        <v>2</v>
      </c>
      <c r="D7" s="54" t="s">
        <v>10</v>
      </c>
      <c r="E7" s="58">
        <v>1208</v>
      </c>
      <c r="F7" s="54" t="s">
        <v>31</v>
      </c>
      <c r="G7" s="54" t="s">
        <v>32</v>
      </c>
      <c r="H7" s="54">
        <f>575-11-8-4-10</f>
        <v>542</v>
      </c>
      <c r="I7" s="56">
        <f>404+11+8+4+10</f>
        <v>437</v>
      </c>
      <c r="J7" s="59"/>
      <c r="K7" s="59">
        <f>260+11+8+4+10</f>
        <v>293</v>
      </c>
      <c r="L7" s="54" t="s">
        <v>33</v>
      </c>
      <c r="M7" s="58" t="s">
        <v>371</v>
      </c>
      <c r="N7" s="54" t="s">
        <v>34</v>
      </c>
      <c r="O7" s="54" t="s">
        <v>372</v>
      </c>
      <c r="P7" s="53" t="s">
        <v>290</v>
      </c>
      <c r="Q7" s="55" t="s">
        <v>14</v>
      </c>
      <c r="R7" s="53">
        <v>161</v>
      </c>
      <c r="S7" s="53">
        <v>161</v>
      </c>
      <c r="T7" s="56">
        <f>+K7-S7</f>
        <v>132</v>
      </c>
      <c r="U7" s="57">
        <v>0.98</v>
      </c>
      <c r="V7" s="52">
        <f t="shared" si="1"/>
      </c>
      <c r="W7" s="18">
        <f t="shared" si="0"/>
        <v>0</v>
      </c>
      <c r="X7" s="23"/>
      <c r="Y7" s="23"/>
      <c r="Z7" s="24"/>
      <c r="AB7" s="24"/>
    </row>
    <row r="8" spans="1:28" s="25" customFormat="1" ht="150" customHeight="1">
      <c r="A8" s="53">
        <f t="shared" si="2"/>
        <v>5</v>
      </c>
      <c r="B8" s="53" t="s">
        <v>64</v>
      </c>
      <c r="C8" s="54">
        <v>6</v>
      </c>
      <c r="D8" s="54" t="s">
        <v>10</v>
      </c>
      <c r="E8" s="58">
        <v>224</v>
      </c>
      <c r="F8" s="54" t="s">
        <v>65</v>
      </c>
      <c r="G8" s="54" t="s">
        <v>41</v>
      </c>
      <c r="H8" s="54">
        <v>5</v>
      </c>
      <c r="I8" s="59">
        <f>123</f>
        <v>123</v>
      </c>
      <c r="J8" s="59"/>
      <c r="K8" s="59">
        <f>14+30+31</f>
        <v>75</v>
      </c>
      <c r="L8" s="54">
        <v>106.63</v>
      </c>
      <c r="M8" s="54" t="s">
        <v>482</v>
      </c>
      <c r="N8" s="54" t="s">
        <v>13</v>
      </c>
      <c r="O8" s="54" t="s">
        <v>483</v>
      </c>
      <c r="P8" s="53" t="s">
        <v>290</v>
      </c>
      <c r="Q8" s="55" t="s">
        <v>14</v>
      </c>
      <c r="R8" s="53">
        <v>25</v>
      </c>
      <c r="S8" s="53">
        <v>26</v>
      </c>
      <c r="T8" s="56">
        <f>+K8-S8</f>
        <v>49</v>
      </c>
      <c r="U8" s="57">
        <v>1</v>
      </c>
      <c r="V8" s="52" t="str">
        <f t="shared" si="1"/>
        <v>+</v>
      </c>
      <c r="W8" s="18">
        <f t="shared" si="0"/>
        <v>1</v>
      </c>
      <c r="X8" s="23"/>
      <c r="Y8" s="23"/>
      <c r="Z8" s="24"/>
      <c r="AB8" s="24"/>
    </row>
    <row r="9" spans="1:28" s="25" customFormat="1" ht="150" customHeight="1">
      <c r="A9" s="53">
        <f t="shared" si="2"/>
        <v>6</v>
      </c>
      <c r="B9" s="53" t="s">
        <v>152</v>
      </c>
      <c r="C9" s="53">
        <v>3</v>
      </c>
      <c r="D9" s="53" t="s">
        <v>10</v>
      </c>
      <c r="E9" s="60">
        <v>288</v>
      </c>
      <c r="F9" s="53"/>
      <c r="G9" s="53"/>
      <c r="H9" s="53">
        <v>154</v>
      </c>
      <c r="I9" s="61">
        <v>134</v>
      </c>
      <c r="J9" s="62"/>
      <c r="K9" s="63">
        <v>134</v>
      </c>
      <c r="L9" s="53" t="s">
        <v>153</v>
      </c>
      <c r="M9" s="53" t="s">
        <v>408</v>
      </c>
      <c r="N9" s="53">
        <v>108</v>
      </c>
      <c r="O9" s="53" t="s">
        <v>409</v>
      </c>
      <c r="P9" s="53" t="s">
        <v>291</v>
      </c>
      <c r="Q9" s="55" t="s">
        <v>14</v>
      </c>
      <c r="R9" s="53">
        <v>85</v>
      </c>
      <c r="S9" s="53">
        <v>85</v>
      </c>
      <c r="T9" s="56">
        <f aca="true" t="shared" si="3" ref="T9:T41">+K9-S9</f>
        <v>49</v>
      </c>
      <c r="U9" s="57">
        <v>0.98</v>
      </c>
      <c r="V9" s="52">
        <f t="shared" si="1"/>
      </c>
      <c r="W9" s="18">
        <f t="shared" si="0"/>
        <v>0</v>
      </c>
      <c r="X9" s="23"/>
      <c r="Y9" s="23"/>
      <c r="Z9" s="24"/>
      <c r="AB9" s="24"/>
    </row>
    <row r="10" spans="1:28" s="25" customFormat="1" ht="150" customHeight="1">
      <c r="A10" s="53">
        <f t="shared" si="2"/>
        <v>7</v>
      </c>
      <c r="B10" s="53" t="s">
        <v>96</v>
      </c>
      <c r="C10" s="54">
        <v>2</v>
      </c>
      <c r="D10" s="54" t="s">
        <v>10</v>
      </c>
      <c r="E10" s="58">
        <v>192</v>
      </c>
      <c r="F10" s="54"/>
      <c r="G10" s="54"/>
      <c r="H10" s="54">
        <f>17-1</f>
        <v>16</v>
      </c>
      <c r="I10" s="59">
        <f>175+1</f>
        <v>176</v>
      </c>
      <c r="J10" s="59"/>
      <c r="K10" s="59">
        <f>79+1+32</f>
        <v>112</v>
      </c>
      <c r="L10" s="54">
        <v>120.18</v>
      </c>
      <c r="M10" s="54" t="s">
        <v>389</v>
      </c>
      <c r="N10" s="54" t="s">
        <v>13</v>
      </c>
      <c r="O10" s="54" t="s">
        <v>390</v>
      </c>
      <c r="P10" s="53" t="s">
        <v>292</v>
      </c>
      <c r="Q10" s="55" t="s">
        <v>14</v>
      </c>
      <c r="R10" s="53">
        <v>44</v>
      </c>
      <c r="S10" s="53">
        <v>44</v>
      </c>
      <c r="T10" s="56">
        <f t="shared" si="3"/>
        <v>68</v>
      </c>
      <c r="U10" s="57">
        <v>0.86</v>
      </c>
      <c r="V10" s="52">
        <f t="shared" si="1"/>
      </c>
      <c r="W10" s="18">
        <f t="shared" si="0"/>
        <v>0</v>
      </c>
      <c r="X10" s="23"/>
      <c r="Y10" s="23"/>
      <c r="Z10" s="24"/>
      <c r="AB10" s="24"/>
    </row>
    <row r="11" spans="1:28" s="25" customFormat="1" ht="150" customHeight="1">
      <c r="A11" s="53">
        <f t="shared" si="2"/>
        <v>8</v>
      </c>
      <c r="B11" s="53" t="s">
        <v>156</v>
      </c>
      <c r="C11" s="54">
        <v>3</v>
      </c>
      <c r="D11" s="54" t="s">
        <v>10</v>
      </c>
      <c r="E11" s="58">
        <v>144</v>
      </c>
      <c r="F11" s="54"/>
      <c r="G11" s="54"/>
      <c r="H11" s="54">
        <v>114</v>
      </c>
      <c r="I11" s="59">
        <v>30</v>
      </c>
      <c r="J11" s="64"/>
      <c r="K11" s="59">
        <v>30</v>
      </c>
      <c r="L11" s="54">
        <v>81.52</v>
      </c>
      <c r="M11" s="54" t="s">
        <v>398</v>
      </c>
      <c r="N11" s="54">
        <v>180</v>
      </c>
      <c r="O11" s="54" t="s">
        <v>399</v>
      </c>
      <c r="P11" s="53" t="s">
        <v>291</v>
      </c>
      <c r="Q11" s="55" t="s">
        <v>14</v>
      </c>
      <c r="R11" s="53">
        <v>3</v>
      </c>
      <c r="S11" s="53">
        <v>3</v>
      </c>
      <c r="T11" s="56">
        <f>+K11-S11</f>
        <v>27</v>
      </c>
      <c r="U11" s="57">
        <v>0.67</v>
      </c>
      <c r="V11" s="52">
        <f t="shared" si="1"/>
      </c>
      <c r="W11" s="18">
        <f t="shared" si="0"/>
        <v>0</v>
      </c>
      <c r="X11" s="23"/>
      <c r="Y11" s="23"/>
      <c r="Z11" s="24"/>
      <c r="AB11" s="24"/>
    </row>
    <row r="12" spans="1:28" s="25" customFormat="1" ht="150" customHeight="1">
      <c r="A12" s="53">
        <f t="shared" si="2"/>
        <v>9</v>
      </c>
      <c r="B12" s="53" t="s">
        <v>349</v>
      </c>
      <c r="C12" s="54">
        <v>8</v>
      </c>
      <c r="D12" s="54" t="s">
        <v>10</v>
      </c>
      <c r="E12" s="58">
        <v>5386</v>
      </c>
      <c r="F12" s="54"/>
      <c r="G12" s="54"/>
      <c r="H12" s="58">
        <f>4747+118</f>
        <v>4865</v>
      </c>
      <c r="I12" s="59">
        <f>639-118</f>
        <v>521</v>
      </c>
      <c r="J12" s="59"/>
      <c r="K12" s="59">
        <f>639-118</f>
        <v>521</v>
      </c>
      <c r="L12" s="54" t="s">
        <v>356</v>
      </c>
      <c r="M12" s="54" t="s">
        <v>350</v>
      </c>
      <c r="N12" s="54" t="s">
        <v>13</v>
      </c>
      <c r="O12" s="54" t="s">
        <v>357</v>
      </c>
      <c r="P12" s="53" t="s">
        <v>342</v>
      </c>
      <c r="Q12" s="55" t="s">
        <v>14</v>
      </c>
      <c r="R12" s="53">
        <v>133</v>
      </c>
      <c r="S12" s="53">
        <v>137</v>
      </c>
      <c r="T12" s="56">
        <f>+K12-S12</f>
        <v>384</v>
      </c>
      <c r="U12" s="57">
        <v>0.55</v>
      </c>
      <c r="V12" s="52" t="str">
        <f t="shared" si="1"/>
        <v>+</v>
      </c>
      <c r="W12" s="18">
        <f t="shared" si="0"/>
        <v>4</v>
      </c>
      <c r="X12" s="23"/>
      <c r="Y12" s="23"/>
      <c r="Z12" s="24"/>
      <c r="AB12" s="24"/>
    </row>
    <row r="13" spans="1:28" s="25" customFormat="1" ht="177" customHeight="1">
      <c r="A13" s="53">
        <f>A12+1</f>
        <v>10</v>
      </c>
      <c r="B13" s="53" t="s">
        <v>359</v>
      </c>
      <c r="C13" s="54">
        <v>8</v>
      </c>
      <c r="D13" s="54" t="s">
        <v>10</v>
      </c>
      <c r="E13" s="58">
        <v>198</v>
      </c>
      <c r="F13" s="54"/>
      <c r="G13" s="54"/>
      <c r="H13" s="58">
        <v>147</v>
      </c>
      <c r="I13" s="59">
        <v>51</v>
      </c>
      <c r="J13" s="59"/>
      <c r="K13" s="59">
        <v>51</v>
      </c>
      <c r="L13" s="65">
        <v>84.4</v>
      </c>
      <c r="M13" s="54" t="s">
        <v>360</v>
      </c>
      <c r="N13" s="54">
        <v>180</v>
      </c>
      <c r="O13" s="54" t="s">
        <v>361</v>
      </c>
      <c r="P13" s="53" t="s">
        <v>362</v>
      </c>
      <c r="Q13" s="55" t="s">
        <v>14</v>
      </c>
      <c r="R13" s="53">
        <v>12</v>
      </c>
      <c r="S13" s="53">
        <v>12</v>
      </c>
      <c r="T13" s="56">
        <f>+K13-S13</f>
        <v>39</v>
      </c>
      <c r="U13" s="57">
        <v>0.07</v>
      </c>
      <c r="V13" s="52">
        <f t="shared" si="1"/>
      </c>
      <c r="W13" s="18">
        <f t="shared" si="0"/>
        <v>0</v>
      </c>
      <c r="X13" s="23"/>
      <c r="Y13" s="23"/>
      <c r="Z13" s="24"/>
      <c r="AB13" s="24"/>
    </row>
    <row r="14" spans="1:28" s="25" customFormat="1" ht="177" customHeight="1">
      <c r="A14" s="66">
        <f>A13+1</f>
        <v>11</v>
      </c>
      <c r="B14" s="66" t="s">
        <v>529</v>
      </c>
      <c r="C14" s="67">
        <v>8</v>
      </c>
      <c r="D14" s="67" t="s">
        <v>10</v>
      </c>
      <c r="E14" s="68">
        <v>504</v>
      </c>
      <c r="F14" s="67"/>
      <c r="G14" s="67"/>
      <c r="H14" s="68">
        <v>404</v>
      </c>
      <c r="I14" s="69">
        <v>100</v>
      </c>
      <c r="J14" s="69">
        <v>100</v>
      </c>
      <c r="K14" s="69"/>
      <c r="L14" s="70" t="s">
        <v>530</v>
      </c>
      <c r="M14" s="67" t="s">
        <v>531</v>
      </c>
      <c r="N14" s="67" t="s">
        <v>369</v>
      </c>
      <c r="O14" s="67" t="s">
        <v>532</v>
      </c>
      <c r="P14" s="66" t="s">
        <v>533</v>
      </c>
      <c r="Q14" s="71" t="s">
        <v>14</v>
      </c>
      <c r="R14" s="66"/>
      <c r="S14" s="66"/>
      <c r="T14" s="72"/>
      <c r="U14" s="73">
        <v>0.37</v>
      </c>
      <c r="V14" s="52">
        <f t="shared" si="1"/>
      </c>
      <c r="W14" s="18">
        <f t="shared" si="0"/>
        <v>0</v>
      </c>
      <c r="X14" s="23"/>
      <c r="Y14" s="23"/>
      <c r="Z14" s="24"/>
      <c r="AB14" s="24"/>
    </row>
    <row r="15" spans="1:28" s="25" customFormat="1" ht="207" customHeight="1">
      <c r="A15" s="66">
        <f>A14+1</f>
        <v>12</v>
      </c>
      <c r="B15" s="67" t="s">
        <v>557</v>
      </c>
      <c r="C15" s="67">
        <v>2</v>
      </c>
      <c r="D15" s="67" t="s">
        <v>10</v>
      </c>
      <c r="E15" s="68">
        <v>200</v>
      </c>
      <c r="F15" s="67"/>
      <c r="G15" s="67"/>
      <c r="H15" s="68">
        <v>184</v>
      </c>
      <c r="I15" s="69">
        <v>16</v>
      </c>
      <c r="J15" s="69">
        <v>16</v>
      </c>
      <c r="K15" s="69"/>
      <c r="L15" s="70">
        <v>120.2</v>
      </c>
      <c r="M15" s="67" t="s">
        <v>558</v>
      </c>
      <c r="N15" s="67" t="s">
        <v>13</v>
      </c>
      <c r="O15" s="67" t="s">
        <v>559</v>
      </c>
      <c r="P15" s="66" t="s">
        <v>560</v>
      </c>
      <c r="Q15" s="71" t="s">
        <v>14</v>
      </c>
      <c r="R15" s="66"/>
      <c r="S15" s="66"/>
      <c r="T15" s="72"/>
      <c r="U15" s="73">
        <v>0.97</v>
      </c>
      <c r="V15" s="52">
        <f t="shared" si="1"/>
      </c>
      <c r="W15" s="18">
        <f t="shared" si="0"/>
        <v>0</v>
      </c>
      <c r="X15" s="23"/>
      <c r="Y15" s="23"/>
      <c r="Z15" s="24"/>
      <c r="AB15" s="24"/>
    </row>
    <row r="16" spans="1:28" s="25" customFormat="1" ht="231" customHeight="1">
      <c r="A16" s="53">
        <f>A15+1</f>
        <v>13</v>
      </c>
      <c r="B16" s="53" t="s">
        <v>526</v>
      </c>
      <c r="C16" s="54">
        <v>5</v>
      </c>
      <c r="D16" s="54" t="s">
        <v>10</v>
      </c>
      <c r="E16" s="58">
        <v>192</v>
      </c>
      <c r="F16" s="54"/>
      <c r="G16" s="54"/>
      <c r="H16" s="58">
        <v>186</v>
      </c>
      <c r="I16" s="59">
        <v>6</v>
      </c>
      <c r="J16" s="59"/>
      <c r="K16" s="59">
        <v>6</v>
      </c>
      <c r="L16" s="65">
        <v>75.06</v>
      </c>
      <c r="M16" s="54" t="s">
        <v>527</v>
      </c>
      <c r="N16" s="54">
        <v>180</v>
      </c>
      <c r="O16" s="54" t="s">
        <v>528</v>
      </c>
      <c r="P16" s="53" t="s">
        <v>514</v>
      </c>
      <c r="Q16" s="55" t="s">
        <v>14</v>
      </c>
      <c r="R16" s="53">
        <v>5</v>
      </c>
      <c r="S16" s="53">
        <v>5</v>
      </c>
      <c r="T16" s="56">
        <f>+K16-S16</f>
        <v>1</v>
      </c>
      <c r="U16" s="57">
        <v>0.98</v>
      </c>
      <c r="V16" s="52">
        <f t="shared" si="1"/>
      </c>
      <c r="W16" s="18">
        <f t="shared" si="0"/>
        <v>0</v>
      </c>
      <c r="X16" s="23"/>
      <c r="Y16" s="23"/>
      <c r="Z16" s="24"/>
      <c r="AB16" s="24"/>
    </row>
    <row r="17" spans="1:28" s="25" customFormat="1" ht="150" customHeight="1">
      <c r="A17" s="53">
        <f>A16+1</f>
        <v>14</v>
      </c>
      <c r="B17" s="53" t="s">
        <v>172</v>
      </c>
      <c r="C17" s="54">
        <v>3</v>
      </c>
      <c r="D17" s="54" t="s">
        <v>10</v>
      </c>
      <c r="E17" s="58">
        <v>294</v>
      </c>
      <c r="F17" s="54"/>
      <c r="G17" s="54"/>
      <c r="H17" s="54">
        <v>126</v>
      </c>
      <c r="I17" s="59">
        <v>168</v>
      </c>
      <c r="J17" s="64"/>
      <c r="K17" s="59">
        <v>168</v>
      </c>
      <c r="L17" s="54">
        <v>120.18</v>
      </c>
      <c r="M17" s="54" t="s">
        <v>400</v>
      </c>
      <c r="N17" s="54" t="s">
        <v>13</v>
      </c>
      <c r="O17" s="54" t="s">
        <v>401</v>
      </c>
      <c r="P17" s="53" t="s">
        <v>294</v>
      </c>
      <c r="Q17" s="55" t="s">
        <v>14</v>
      </c>
      <c r="R17" s="53">
        <v>52</v>
      </c>
      <c r="S17" s="53">
        <v>53</v>
      </c>
      <c r="T17" s="56">
        <f>+K17-S17</f>
        <v>115</v>
      </c>
      <c r="U17" s="57">
        <v>0.94</v>
      </c>
      <c r="V17" s="52" t="str">
        <f t="shared" si="1"/>
        <v>+</v>
      </c>
      <c r="W17" s="18">
        <f t="shared" si="0"/>
        <v>1</v>
      </c>
      <c r="X17" s="23"/>
      <c r="Y17" s="23"/>
      <c r="Z17" s="24"/>
      <c r="AB17" s="24"/>
    </row>
    <row r="18" spans="1:28" s="25" customFormat="1" ht="174" customHeight="1">
      <c r="A18" s="53">
        <f t="shared" si="2"/>
        <v>15</v>
      </c>
      <c r="B18" s="53" t="s">
        <v>230</v>
      </c>
      <c r="C18" s="54">
        <v>2</v>
      </c>
      <c r="D18" s="54" t="s">
        <v>10</v>
      </c>
      <c r="E18" s="58">
        <v>584</v>
      </c>
      <c r="F18" s="54"/>
      <c r="G18" s="54"/>
      <c r="H18" s="54">
        <v>49</v>
      </c>
      <c r="I18" s="59">
        <v>535</v>
      </c>
      <c r="J18" s="59"/>
      <c r="K18" s="59">
        <v>159</v>
      </c>
      <c r="L18" s="54" t="s">
        <v>231</v>
      </c>
      <c r="M18" s="54" t="s">
        <v>373</v>
      </c>
      <c r="N18" s="54" t="s">
        <v>232</v>
      </c>
      <c r="O18" s="54" t="s">
        <v>374</v>
      </c>
      <c r="P18" s="53" t="s">
        <v>295</v>
      </c>
      <c r="Q18" s="55" t="s">
        <v>14</v>
      </c>
      <c r="R18" s="53">
        <v>68</v>
      </c>
      <c r="S18" s="53">
        <v>68</v>
      </c>
      <c r="T18" s="56">
        <f>+K18-S18</f>
        <v>91</v>
      </c>
      <c r="U18" s="57">
        <v>0.91</v>
      </c>
      <c r="V18" s="52">
        <f t="shared" si="1"/>
      </c>
      <c r="W18" s="18">
        <f t="shared" si="0"/>
        <v>0</v>
      </c>
      <c r="X18" s="23"/>
      <c r="Y18" s="23"/>
      <c r="Z18" s="24"/>
      <c r="AB18" s="24"/>
    </row>
    <row r="19" spans="1:28" s="25" customFormat="1" ht="240" customHeight="1">
      <c r="A19" s="66">
        <f>A18+1</f>
        <v>16</v>
      </c>
      <c r="B19" s="66" t="s">
        <v>570</v>
      </c>
      <c r="C19" s="67">
        <v>6</v>
      </c>
      <c r="D19" s="67" t="s">
        <v>10</v>
      </c>
      <c r="E19" s="68">
        <v>2464</v>
      </c>
      <c r="F19" s="67" t="s">
        <v>571</v>
      </c>
      <c r="G19" s="67" t="s">
        <v>572</v>
      </c>
      <c r="H19" s="67">
        <v>540</v>
      </c>
      <c r="I19" s="69">
        <v>252</v>
      </c>
      <c r="J19" s="69"/>
      <c r="K19" s="69"/>
      <c r="L19" s="67" t="s">
        <v>573</v>
      </c>
      <c r="M19" s="67" t="s">
        <v>574</v>
      </c>
      <c r="N19" s="67" t="s">
        <v>13</v>
      </c>
      <c r="O19" s="67" t="s">
        <v>575</v>
      </c>
      <c r="P19" s="66" t="s">
        <v>576</v>
      </c>
      <c r="Q19" s="71">
        <v>40122</v>
      </c>
      <c r="R19" s="66"/>
      <c r="S19" s="66"/>
      <c r="T19" s="72"/>
      <c r="U19" s="126" t="s">
        <v>577</v>
      </c>
      <c r="V19" s="52">
        <f t="shared" si="1"/>
      </c>
      <c r="W19" s="18">
        <f t="shared" si="0"/>
        <v>0</v>
      </c>
      <c r="X19" s="23"/>
      <c r="Y19" s="23"/>
      <c r="Z19" s="24"/>
      <c r="AB19" s="24"/>
    </row>
    <row r="20" spans="1:28" s="25" customFormat="1" ht="150" customHeight="1">
      <c r="A20" s="53">
        <f>A19+1</f>
        <v>17</v>
      </c>
      <c r="B20" s="53" t="s">
        <v>53</v>
      </c>
      <c r="C20" s="54">
        <v>4</v>
      </c>
      <c r="D20" s="54" t="s">
        <v>10</v>
      </c>
      <c r="E20" s="58">
        <v>4430</v>
      </c>
      <c r="F20" s="58" t="s">
        <v>256</v>
      </c>
      <c r="G20" s="54" t="s">
        <v>23</v>
      </c>
      <c r="H20" s="58">
        <v>2268</v>
      </c>
      <c r="I20" s="56">
        <v>538</v>
      </c>
      <c r="J20" s="59"/>
      <c r="K20" s="59">
        <v>506</v>
      </c>
      <c r="L20" s="54" t="s">
        <v>54</v>
      </c>
      <c r="M20" s="54" t="s">
        <v>465</v>
      </c>
      <c r="N20" s="54" t="s">
        <v>55</v>
      </c>
      <c r="O20" s="54" t="s">
        <v>466</v>
      </c>
      <c r="P20" s="53" t="s">
        <v>537</v>
      </c>
      <c r="Q20" s="55" t="s">
        <v>14</v>
      </c>
      <c r="R20" s="53">
        <v>25</v>
      </c>
      <c r="S20" s="53">
        <v>25</v>
      </c>
      <c r="T20" s="56">
        <f t="shared" si="3"/>
        <v>481</v>
      </c>
      <c r="U20" s="57" t="s">
        <v>447</v>
      </c>
      <c r="V20" s="52">
        <f t="shared" si="1"/>
      </c>
      <c r="W20" s="18">
        <f t="shared" si="0"/>
        <v>0</v>
      </c>
      <c r="X20" s="23"/>
      <c r="Y20" s="23"/>
      <c r="Z20" s="24"/>
      <c r="AB20" s="24"/>
    </row>
    <row r="21" spans="1:28" s="25" customFormat="1" ht="234" customHeight="1">
      <c r="A21" s="53">
        <f t="shared" si="2"/>
        <v>18</v>
      </c>
      <c r="B21" s="53" t="s">
        <v>167</v>
      </c>
      <c r="C21" s="54">
        <v>9</v>
      </c>
      <c r="D21" s="54" t="s">
        <v>10</v>
      </c>
      <c r="E21" s="58">
        <v>960</v>
      </c>
      <c r="F21" s="58" t="s">
        <v>450</v>
      </c>
      <c r="G21" s="54" t="s">
        <v>451</v>
      </c>
      <c r="H21" s="58">
        <f>436-2</f>
        <v>434</v>
      </c>
      <c r="I21" s="56">
        <f>306+2-28</f>
        <v>280</v>
      </c>
      <c r="J21" s="62"/>
      <c r="K21" s="59">
        <f>306+2-28</f>
        <v>280</v>
      </c>
      <c r="L21" s="54" t="s">
        <v>168</v>
      </c>
      <c r="M21" s="54" t="s">
        <v>169</v>
      </c>
      <c r="N21" s="54" t="s">
        <v>170</v>
      </c>
      <c r="O21" s="54" t="s">
        <v>171</v>
      </c>
      <c r="P21" s="53" t="s">
        <v>297</v>
      </c>
      <c r="Q21" s="55" t="s">
        <v>14</v>
      </c>
      <c r="R21" s="53">
        <v>247</v>
      </c>
      <c r="S21" s="53">
        <v>247</v>
      </c>
      <c r="T21" s="56">
        <f t="shared" si="3"/>
        <v>33</v>
      </c>
      <c r="U21" s="57">
        <v>0.7</v>
      </c>
      <c r="V21" s="52">
        <f t="shared" si="1"/>
      </c>
      <c r="W21" s="18">
        <f t="shared" si="0"/>
        <v>0</v>
      </c>
      <c r="X21" s="23"/>
      <c r="Y21" s="23"/>
      <c r="Z21" s="24"/>
      <c r="AB21" s="24"/>
    </row>
    <row r="22" spans="1:28" s="25" customFormat="1" ht="150" customHeight="1">
      <c r="A22" s="53">
        <f t="shared" si="2"/>
        <v>19</v>
      </c>
      <c r="B22" s="53" t="s">
        <v>42</v>
      </c>
      <c r="C22" s="54">
        <v>3</v>
      </c>
      <c r="D22" s="54" t="s">
        <v>10</v>
      </c>
      <c r="E22" s="58">
        <v>472</v>
      </c>
      <c r="F22" s="54">
        <v>10</v>
      </c>
      <c r="G22" s="54" t="s">
        <v>503</v>
      </c>
      <c r="H22" s="54">
        <f>330-26+46</f>
        <v>350</v>
      </c>
      <c r="I22" s="59">
        <f>142-10+26-46</f>
        <v>112</v>
      </c>
      <c r="J22" s="59"/>
      <c r="K22" s="59">
        <f>158-46</f>
        <v>112</v>
      </c>
      <c r="L22" s="54" t="s">
        <v>56</v>
      </c>
      <c r="M22" s="54" t="s">
        <v>109</v>
      </c>
      <c r="N22" s="54" t="s">
        <v>34</v>
      </c>
      <c r="O22" s="54" t="s">
        <v>110</v>
      </c>
      <c r="P22" s="53" t="s">
        <v>290</v>
      </c>
      <c r="Q22" s="55" t="s">
        <v>14</v>
      </c>
      <c r="R22" s="53">
        <v>30</v>
      </c>
      <c r="S22" s="53">
        <v>30</v>
      </c>
      <c r="T22" s="56">
        <f t="shared" si="3"/>
        <v>82</v>
      </c>
      <c r="U22" s="57">
        <v>0</v>
      </c>
      <c r="V22" s="52">
        <f t="shared" si="1"/>
      </c>
      <c r="W22" s="18">
        <f t="shared" si="0"/>
        <v>0</v>
      </c>
      <c r="X22" s="23"/>
      <c r="Y22" s="23"/>
      <c r="Z22" s="24"/>
      <c r="AB22" s="24"/>
    </row>
    <row r="23" spans="1:28" s="25" customFormat="1" ht="150" customHeight="1">
      <c r="A23" s="53">
        <f t="shared" si="2"/>
        <v>20</v>
      </c>
      <c r="B23" s="53" t="s">
        <v>237</v>
      </c>
      <c r="C23" s="54">
        <v>3</v>
      </c>
      <c r="D23" s="54" t="s">
        <v>10</v>
      </c>
      <c r="E23" s="58">
        <v>392</v>
      </c>
      <c r="F23" s="54" t="s">
        <v>238</v>
      </c>
      <c r="G23" s="54" t="s">
        <v>239</v>
      </c>
      <c r="H23" s="54">
        <v>102</v>
      </c>
      <c r="I23" s="59">
        <v>206</v>
      </c>
      <c r="J23" s="59"/>
      <c r="K23" s="59">
        <v>206</v>
      </c>
      <c r="L23" s="54">
        <v>90.07</v>
      </c>
      <c r="M23" s="54" t="s">
        <v>402</v>
      </c>
      <c r="N23" s="54" t="s">
        <v>13</v>
      </c>
      <c r="O23" s="54" t="s">
        <v>403</v>
      </c>
      <c r="P23" s="53" t="s">
        <v>298</v>
      </c>
      <c r="Q23" s="55" t="s">
        <v>14</v>
      </c>
      <c r="R23" s="53">
        <v>156</v>
      </c>
      <c r="S23" s="53">
        <v>156</v>
      </c>
      <c r="T23" s="56">
        <f t="shared" si="3"/>
        <v>50</v>
      </c>
      <c r="U23" s="57">
        <v>0.94</v>
      </c>
      <c r="V23" s="52">
        <f t="shared" si="1"/>
      </c>
      <c r="W23" s="18">
        <f t="shared" si="0"/>
        <v>0</v>
      </c>
      <c r="X23" s="23"/>
      <c r="Y23" s="23"/>
      <c r="Z23" s="24"/>
      <c r="AB23" s="24"/>
    </row>
    <row r="24" spans="1:28" s="25" customFormat="1" ht="150" customHeight="1">
      <c r="A24" s="53">
        <f t="shared" si="2"/>
        <v>21</v>
      </c>
      <c r="B24" s="53" t="s">
        <v>50</v>
      </c>
      <c r="C24" s="54">
        <v>7</v>
      </c>
      <c r="D24" s="54" t="s">
        <v>10</v>
      </c>
      <c r="E24" s="58">
        <v>120</v>
      </c>
      <c r="F24" s="54"/>
      <c r="G24" s="54"/>
      <c r="H24" s="54">
        <f>82-3-1-1-1</f>
        <v>76</v>
      </c>
      <c r="I24" s="59">
        <f>38+3+1+1+1</f>
        <v>44</v>
      </c>
      <c r="J24" s="59"/>
      <c r="K24" s="59">
        <f>41+1+1+1</f>
        <v>44</v>
      </c>
      <c r="L24" s="54">
        <v>120</v>
      </c>
      <c r="M24" s="54" t="s">
        <v>393</v>
      </c>
      <c r="N24" s="54" t="s">
        <v>13</v>
      </c>
      <c r="O24" s="54" t="s">
        <v>394</v>
      </c>
      <c r="P24" s="53" t="s">
        <v>290</v>
      </c>
      <c r="Q24" s="55" t="s">
        <v>14</v>
      </c>
      <c r="R24" s="53">
        <v>39</v>
      </c>
      <c r="S24" s="53">
        <v>39</v>
      </c>
      <c r="T24" s="56">
        <f t="shared" si="3"/>
        <v>5</v>
      </c>
      <c r="U24" s="57">
        <v>0.99</v>
      </c>
      <c r="V24" s="52">
        <f t="shared" si="1"/>
      </c>
      <c r="W24" s="18">
        <f t="shared" si="0"/>
        <v>0</v>
      </c>
      <c r="X24" s="23"/>
      <c r="Y24" s="23"/>
      <c r="Z24" s="24"/>
      <c r="AB24" s="24"/>
    </row>
    <row r="25" spans="1:28" s="25" customFormat="1" ht="186" customHeight="1">
      <c r="A25" s="53">
        <f t="shared" si="2"/>
        <v>22</v>
      </c>
      <c r="B25" s="53" t="s">
        <v>158</v>
      </c>
      <c r="C25" s="54">
        <v>3</v>
      </c>
      <c r="D25" s="54" t="s">
        <v>10</v>
      </c>
      <c r="E25" s="58">
        <v>412</v>
      </c>
      <c r="F25" s="54"/>
      <c r="G25" s="54"/>
      <c r="H25" s="54">
        <f>353-6</f>
        <v>347</v>
      </c>
      <c r="I25" s="59">
        <f>59+6</f>
        <v>65</v>
      </c>
      <c r="J25" s="62"/>
      <c r="K25" s="59">
        <f>59+6</f>
        <v>65</v>
      </c>
      <c r="L25" s="54" t="s">
        <v>157</v>
      </c>
      <c r="M25" s="54" t="s">
        <v>406</v>
      </c>
      <c r="N25" s="54">
        <v>120</v>
      </c>
      <c r="O25" s="54" t="s">
        <v>407</v>
      </c>
      <c r="P25" s="53" t="s">
        <v>299</v>
      </c>
      <c r="Q25" s="55" t="s">
        <v>14</v>
      </c>
      <c r="R25" s="53">
        <v>38</v>
      </c>
      <c r="S25" s="53">
        <v>38</v>
      </c>
      <c r="T25" s="56">
        <f t="shared" si="3"/>
        <v>27</v>
      </c>
      <c r="U25" s="57">
        <v>0.98</v>
      </c>
      <c r="V25" s="52">
        <f t="shared" si="1"/>
      </c>
      <c r="W25" s="18">
        <f t="shared" si="0"/>
        <v>0</v>
      </c>
      <c r="X25" s="23"/>
      <c r="Y25" s="23"/>
      <c r="Z25" s="24"/>
      <c r="AB25" s="24"/>
    </row>
    <row r="26" spans="1:28" s="25" customFormat="1" ht="189" customHeight="1">
      <c r="A26" s="53">
        <f t="shared" si="2"/>
        <v>23</v>
      </c>
      <c r="B26" s="53" t="s">
        <v>62</v>
      </c>
      <c r="C26" s="54">
        <v>7</v>
      </c>
      <c r="D26" s="54" t="s">
        <v>10</v>
      </c>
      <c r="E26" s="58">
        <v>374</v>
      </c>
      <c r="F26" s="54"/>
      <c r="G26" s="54"/>
      <c r="H26" s="54">
        <f>57-1-1-1-1-9</f>
        <v>44</v>
      </c>
      <c r="I26" s="59">
        <f>374-H26</f>
        <v>330</v>
      </c>
      <c r="J26" s="59"/>
      <c r="K26" s="59">
        <f>99+1+1+1+132+32+1+9</f>
        <v>276</v>
      </c>
      <c r="L26" s="54" t="s">
        <v>76</v>
      </c>
      <c r="M26" s="54" t="s">
        <v>391</v>
      </c>
      <c r="N26" s="54" t="s">
        <v>13</v>
      </c>
      <c r="O26" s="54" t="s">
        <v>392</v>
      </c>
      <c r="P26" s="53" t="s">
        <v>290</v>
      </c>
      <c r="Q26" s="55" t="s">
        <v>14</v>
      </c>
      <c r="R26" s="53">
        <v>151</v>
      </c>
      <c r="S26" s="53">
        <v>151</v>
      </c>
      <c r="T26" s="56">
        <f t="shared" si="3"/>
        <v>125</v>
      </c>
      <c r="U26" s="57">
        <v>0.99</v>
      </c>
      <c r="V26" s="52">
        <f t="shared" si="1"/>
      </c>
      <c r="W26" s="18">
        <f t="shared" si="0"/>
        <v>0</v>
      </c>
      <c r="X26" s="23"/>
      <c r="Y26" s="23"/>
      <c r="Z26" s="24"/>
      <c r="AB26" s="24"/>
    </row>
    <row r="27" spans="1:28" s="25" customFormat="1" ht="225" customHeight="1">
      <c r="A27" s="53">
        <f t="shared" si="2"/>
        <v>24</v>
      </c>
      <c r="B27" s="53" t="s">
        <v>223</v>
      </c>
      <c r="C27" s="54">
        <v>5</v>
      </c>
      <c r="D27" s="54" t="s">
        <v>10</v>
      </c>
      <c r="E27" s="58">
        <v>464</v>
      </c>
      <c r="F27" s="54"/>
      <c r="G27" s="54"/>
      <c r="H27" s="54">
        <f>384-8-12</f>
        <v>364</v>
      </c>
      <c r="I27" s="59">
        <f>464-H27</f>
        <v>100</v>
      </c>
      <c r="J27" s="62"/>
      <c r="K27" s="74">
        <f>80+8+12</f>
        <v>100</v>
      </c>
      <c r="L27" s="53" t="s">
        <v>150</v>
      </c>
      <c r="M27" s="53" t="s">
        <v>224</v>
      </c>
      <c r="N27" s="53">
        <v>180</v>
      </c>
      <c r="O27" s="53" t="s">
        <v>225</v>
      </c>
      <c r="P27" s="53" t="s">
        <v>300</v>
      </c>
      <c r="Q27" s="55" t="s">
        <v>14</v>
      </c>
      <c r="R27" s="53">
        <v>99</v>
      </c>
      <c r="S27" s="53">
        <v>99</v>
      </c>
      <c r="T27" s="56">
        <f t="shared" si="3"/>
        <v>1</v>
      </c>
      <c r="U27" s="57">
        <v>0.99</v>
      </c>
      <c r="V27" s="52">
        <f t="shared" si="1"/>
      </c>
      <c r="W27" s="18">
        <f t="shared" si="0"/>
        <v>0</v>
      </c>
      <c r="X27" s="23"/>
      <c r="Y27" s="23"/>
      <c r="Z27" s="24"/>
      <c r="AB27" s="24"/>
    </row>
    <row r="28" spans="1:28" s="25" customFormat="1" ht="150" customHeight="1">
      <c r="A28" s="53">
        <f t="shared" si="2"/>
        <v>25</v>
      </c>
      <c r="B28" s="53" t="s">
        <v>87</v>
      </c>
      <c r="C28" s="54">
        <v>3</v>
      </c>
      <c r="D28" s="54" t="s">
        <v>10</v>
      </c>
      <c r="E28" s="58">
        <v>160</v>
      </c>
      <c r="F28" s="54">
        <v>20</v>
      </c>
      <c r="G28" s="54" t="s">
        <v>189</v>
      </c>
      <c r="H28" s="54">
        <f>76-1</f>
        <v>75</v>
      </c>
      <c r="I28" s="59">
        <v>65</v>
      </c>
      <c r="J28" s="74"/>
      <c r="K28" s="59">
        <v>65</v>
      </c>
      <c r="L28" s="54">
        <v>129.62</v>
      </c>
      <c r="M28" s="54" t="s">
        <v>404</v>
      </c>
      <c r="N28" s="54" t="s">
        <v>13</v>
      </c>
      <c r="O28" s="54" t="s">
        <v>405</v>
      </c>
      <c r="P28" s="53" t="s">
        <v>296</v>
      </c>
      <c r="Q28" s="55" t="s">
        <v>14</v>
      </c>
      <c r="R28" s="53">
        <v>10</v>
      </c>
      <c r="S28" s="53">
        <v>10</v>
      </c>
      <c r="T28" s="56">
        <f t="shared" si="3"/>
        <v>55</v>
      </c>
      <c r="U28" s="57">
        <v>0.99</v>
      </c>
      <c r="V28" s="52">
        <f t="shared" si="1"/>
      </c>
      <c r="W28" s="18">
        <f t="shared" si="0"/>
        <v>0</v>
      </c>
      <c r="X28" s="23"/>
      <c r="Y28" s="23"/>
      <c r="Z28" s="24"/>
      <c r="AB28" s="24"/>
    </row>
    <row r="29" spans="1:28" s="25" customFormat="1" ht="189" customHeight="1">
      <c r="A29" s="53">
        <f t="shared" si="2"/>
        <v>26</v>
      </c>
      <c r="B29" s="53" t="s">
        <v>283</v>
      </c>
      <c r="C29" s="54">
        <v>5</v>
      </c>
      <c r="D29" s="54" t="s">
        <v>10</v>
      </c>
      <c r="E29" s="58">
        <v>252</v>
      </c>
      <c r="F29" s="54"/>
      <c r="G29" s="54"/>
      <c r="H29" s="54">
        <f>231-10</f>
        <v>221</v>
      </c>
      <c r="I29" s="59">
        <f>21+10</f>
        <v>31</v>
      </c>
      <c r="J29" s="74"/>
      <c r="K29" s="59">
        <f>21+10</f>
        <v>31</v>
      </c>
      <c r="L29" s="54" t="s">
        <v>284</v>
      </c>
      <c r="M29" s="54" t="s">
        <v>285</v>
      </c>
      <c r="N29" s="54">
        <v>180</v>
      </c>
      <c r="O29" s="54" t="s">
        <v>286</v>
      </c>
      <c r="P29" s="53" t="s">
        <v>301</v>
      </c>
      <c r="Q29" s="55" t="s">
        <v>14</v>
      </c>
      <c r="R29" s="53">
        <v>30</v>
      </c>
      <c r="S29" s="53">
        <v>30</v>
      </c>
      <c r="T29" s="54">
        <f t="shared" si="3"/>
        <v>1</v>
      </c>
      <c r="U29" s="57">
        <v>0.99</v>
      </c>
      <c r="V29" s="52">
        <f t="shared" si="1"/>
      </c>
      <c r="W29" s="18">
        <f t="shared" si="0"/>
        <v>0</v>
      </c>
      <c r="X29" s="23"/>
      <c r="Y29" s="23"/>
      <c r="Z29" s="24"/>
      <c r="AB29" s="24"/>
    </row>
    <row r="30" spans="1:28" s="25" customFormat="1" ht="150" customHeight="1">
      <c r="A30" s="53">
        <f t="shared" si="2"/>
        <v>27</v>
      </c>
      <c r="B30" s="53" t="s">
        <v>105</v>
      </c>
      <c r="C30" s="54">
        <v>3</v>
      </c>
      <c r="D30" s="54" t="s">
        <v>9</v>
      </c>
      <c r="E30" s="58">
        <v>488</v>
      </c>
      <c r="F30" s="54">
        <v>64</v>
      </c>
      <c r="G30" s="54" t="s">
        <v>20</v>
      </c>
      <c r="H30" s="54">
        <f>387-42</f>
        <v>345</v>
      </c>
      <c r="I30" s="75">
        <f>37+42</f>
        <v>79</v>
      </c>
      <c r="J30" s="64"/>
      <c r="K30" s="76">
        <f>37+42</f>
        <v>79</v>
      </c>
      <c r="L30" s="54" t="s">
        <v>106</v>
      </c>
      <c r="M30" s="54" t="s">
        <v>120</v>
      </c>
      <c r="N30" s="54" t="s">
        <v>13</v>
      </c>
      <c r="O30" s="54" t="s">
        <v>121</v>
      </c>
      <c r="P30" s="53" t="s">
        <v>302</v>
      </c>
      <c r="Q30" s="55" t="s">
        <v>14</v>
      </c>
      <c r="R30" s="53">
        <v>48</v>
      </c>
      <c r="S30" s="53">
        <v>48</v>
      </c>
      <c r="T30" s="56">
        <f t="shared" si="3"/>
        <v>31</v>
      </c>
      <c r="U30" s="57">
        <v>0.97</v>
      </c>
      <c r="V30" s="52">
        <f t="shared" si="1"/>
      </c>
      <c r="W30" s="18">
        <f t="shared" si="0"/>
        <v>0</v>
      </c>
      <c r="X30" s="23"/>
      <c r="Y30" s="23"/>
      <c r="Z30" s="24"/>
      <c r="AB30" s="24"/>
    </row>
    <row r="31" spans="1:28" s="25" customFormat="1" ht="150" customHeight="1">
      <c r="A31" s="53">
        <f>A30+1</f>
        <v>28</v>
      </c>
      <c r="B31" s="53" t="s">
        <v>77</v>
      </c>
      <c r="C31" s="54">
        <v>3</v>
      </c>
      <c r="D31" s="54" t="s">
        <v>10</v>
      </c>
      <c r="E31" s="58">
        <v>206</v>
      </c>
      <c r="F31" s="54"/>
      <c r="G31" s="54"/>
      <c r="H31" s="54">
        <f>9-3</f>
        <v>6</v>
      </c>
      <c r="I31" s="59">
        <f>197+3</f>
        <v>200</v>
      </c>
      <c r="J31" s="59"/>
      <c r="K31" s="76">
        <f>93+3+26</f>
        <v>122</v>
      </c>
      <c r="L31" s="54">
        <v>112.21</v>
      </c>
      <c r="M31" s="54" t="s">
        <v>397</v>
      </c>
      <c r="N31" s="54" t="s">
        <v>13</v>
      </c>
      <c r="O31" s="54" t="s">
        <v>416</v>
      </c>
      <c r="P31" s="53" t="s">
        <v>290</v>
      </c>
      <c r="Q31" s="55" t="s">
        <v>14</v>
      </c>
      <c r="R31" s="53">
        <v>85</v>
      </c>
      <c r="S31" s="53">
        <v>85</v>
      </c>
      <c r="T31" s="56">
        <f t="shared" si="3"/>
        <v>37</v>
      </c>
      <c r="U31" s="57">
        <v>0.98</v>
      </c>
      <c r="V31" s="52">
        <f t="shared" si="1"/>
      </c>
      <c r="W31" s="18">
        <f t="shared" si="0"/>
        <v>0</v>
      </c>
      <c r="X31" s="23"/>
      <c r="Y31" s="23"/>
      <c r="Z31" s="24"/>
      <c r="AB31" s="24"/>
    </row>
    <row r="32" spans="1:28" s="25" customFormat="1" ht="192" customHeight="1">
      <c r="A32" s="53">
        <f>A31+1</f>
        <v>29</v>
      </c>
      <c r="B32" s="53" t="s">
        <v>363</v>
      </c>
      <c r="C32" s="54">
        <v>8</v>
      </c>
      <c r="D32" s="54" t="s">
        <v>10</v>
      </c>
      <c r="E32" s="58">
        <v>80</v>
      </c>
      <c r="F32" s="54"/>
      <c r="G32" s="54"/>
      <c r="H32" s="54">
        <v>48</v>
      </c>
      <c r="I32" s="59">
        <v>32</v>
      </c>
      <c r="J32" s="59"/>
      <c r="K32" s="59">
        <v>32</v>
      </c>
      <c r="L32" s="54">
        <v>81.52</v>
      </c>
      <c r="M32" s="54" t="s">
        <v>364</v>
      </c>
      <c r="N32" s="54">
        <v>180</v>
      </c>
      <c r="O32" s="54" t="s">
        <v>365</v>
      </c>
      <c r="P32" s="53" t="s">
        <v>362</v>
      </c>
      <c r="Q32" s="55" t="s">
        <v>14</v>
      </c>
      <c r="R32" s="53">
        <v>3</v>
      </c>
      <c r="S32" s="53">
        <v>3</v>
      </c>
      <c r="T32" s="56">
        <f t="shared" si="3"/>
        <v>29</v>
      </c>
      <c r="U32" s="57">
        <v>0.98</v>
      </c>
      <c r="V32" s="52">
        <f t="shared" si="1"/>
      </c>
      <c r="W32" s="18">
        <f t="shared" si="0"/>
        <v>0</v>
      </c>
      <c r="X32" s="23"/>
      <c r="Y32" s="23"/>
      <c r="Z32" s="24"/>
      <c r="AB32" s="24"/>
    </row>
    <row r="33" spans="1:28" s="25" customFormat="1" ht="177" customHeight="1">
      <c r="A33" s="53">
        <f t="shared" si="2"/>
        <v>30</v>
      </c>
      <c r="B33" s="53" t="s">
        <v>366</v>
      </c>
      <c r="C33" s="54">
        <v>8</v>
      </c>
      <c r="D33" s="54" t="s">
        <v>10</v>
      </c>
      <c r="E33" s="58">
        <v>400</v>
      </c>
      <c r="F33" s="54"/>
      <c r="G33" s="54"/>
      <c r="H33" s="54">
        <v>368</v>
      </c>
      <c r="I33" s="59">
        <v>32</v>
      </c>
      <c r="J33" s="59"/>
      <c r="K33" s="59">
        <v>32</v>
      </c>
      <c r="L33" s="54" t="s">
        <v>367</v>
      </c>
      <c r="M33" s="54" t="s">
        <v>368</v>
      </c>
      <c r="N33" s="54" t="s">
        <v>369</v>
      </c>
      <c r="O33" s="54" t="s">
        <v>370</v>
      </c>
      <c r="P33" s="53" t="s">
        <v>362</v>
      </c>
      <c r="Q33" s="55" t="s">
        <v>14</v>
      </c>
      <c r="R33" s="53">
        <v>7</v>
      </c>
      <c r="S33" s="53">
        <v>7</v>
      </c>
      <c r="T33" s="56">
        <f t="shared" si="3"/>
        <v>25</v>
      </c>
      <c r="U33" s="57">
        <v>0.95</v>
      </c>
      <c r="V33" s="52">
        <f t="shared" si="1"/>
      </c>
      <c r="W33" s="18">
        <f t="shared" si="0"/>
        <v>0</v>
      </c>
      <c r="X33" s="23"/>
      <c r="Y33" s="23"/>
      <c r="Z33" s="24"/>
      <c r="AB33" s="24"/>
    </row>
    <row r="34" spans="1:28" s="25" customFormat="1" ht="150" customHeight="1">
      <c r="A34" s="53">
        <f>A33+1</f>
        <v>31</v>
      </c>
      <c r="B34" s="53" t="s">
        <v>173</v>
      </c>
      <c r="C34" s="54">
        <v>2</v>
      </c>
      <c r="D34" s="54" t="s">
        <v>10</v>
      </c>
      <c r="E34" s="58">
        <v>272</v>
      </c>
      <c r="F34" s="54"/>
      <c r="G34" s="54"/>
      <c r="H34" s="54">
        <v>5</v>
      </c>
      <c r="I34" s="59">
        <v>267</v>
      </c>
      <c r="J34" s="59"/>
      <c r="K34" s="59">
        <f>43+32</f>
        <v>75</v>
      </c>
      <c r="L34" s="65">
        <v>106.79</v>
      </c>
      <c r="M34" s="54" t="s">
        <v>385</v>
      </c>
      <c r="N34" s="54" t="s">
        <v>13</v>
      </c>
      <c r="O34" s="54" t="s">
        <v>386</v>
      </c>
      <c r="P34" s="77" t="s">
        <v>303</v>
      </c>
      <c r="Q34" s="55" t="s">
        <v>14</v>
      </c>
      <c r="R34" s="53">
        <v>44</v>
      </c>
      <c r="S34" s="53">
        <v>44</v>
      </c>
      <c r="T34" s="56">
        <f t="shared" si="3"/>
        <v>31</v>
      </c>
      <c r="U34" s="57">
        <v>0.99</v>
      </c>
      <c r="V34" s="52">
        <f t="shared" si="1"/>
      </c>
      <c r="W34" s="18">
        <f t="shared" si="0"/>
        <v>0</v>
      </c>
      <c r="X34" s="23"/>
      <c r="Y34" s="23"/>
      <c r="Z34" s="24"/>
      <c r="AB34" s="24"/>
    </row>
    <row r="35" spans="1:28" s="25" customFormat="1" ht="186" customHeight="1">
      <c r="A35" s="53">
        <f t="shared" si="2"/>
        <v>32</v>
      </c>
      <c r="B35" s="53" t="s">
        <v>328</v>
      </c>
      <c r="C35" s="54">
        <v>5</v>
      </c>
      <c r="D35" s="54" t="s">
        <v>10</v>
      </c>
      <c r="E35" s="58">
        <v>208</v>
      </c>
      <c r="F35" s="54"/>
      <c r="G35" s="54"/>
      <c r="H35" s="54">
        <v>51</v>
      </c>
      <c r="I35" s="59">
        <v>157</v>
      </c>
      <c r="J35" s="59"/>
      <c r="K35" s="59">
        <v>157</v>
      </c>
      <c r="L35" s="65" t="s">
        <v>329</v>
      </c>
      <c r="M35" s="54" t="s">
        <v>330</v>
      </c>
      <c r="N35" s="54">
        <v>180</v>
      </c>
      <c r="O35" s="54" t="s">
        <v>331</v>
      </c>
      <c r="P35" s="77" t="s">
        <v>332</v>
      </c>
      <c r="Q35" s="55" t="s">
        <v>14</v>
      </c>
      <c r="R35" s="53">
        <v>71</v>
      </c>
      <c r="S35" s="53">
        <v>71</v>
      </c>
      <c r="T35" s="56">
        <f t="shared" si="3"/>
        <v>86</v>
      </c>
      <c r="U35" s="57">
        <v>0.33</v>
      </c>
      <c r="V35" s="52">
        <f t="shared" si="1"/>
      </c>
      <c r="W35" s="18">
        <f t="shared" si="0"/>
        <v>0</v>
      </c>
      <c r="X35" s="23"/>
      <c r="Y35" s="23"/>
      <c r="Z35" s="24"/>
      <c r="AB35" s="24"/>
    </row>
    <row r="36" spans="1:28" s="25" customFormat="1" ht="150" customHeight="1">
      <c r="A36" s="53">
        <f t="shared" si="2"/>
        <v>33</v>
      </c>
      <c r="B36" s="53" t="s">
        <v>100</v>
      </c>
      <c r="C36" s="54">
        <v>2</v>
      </c>
      <c r="D36" s="54" t="s">
        <v>10</v>
      </c>
      <c r="E36" s="58">
        <v>272</v>
      </c>
      <c r="F36" s="54" t="s">
        <v>268</v>
      </c>
      <c r="G36" s="54" t="s">
        <v>269</v>
      </c>
      <c r="H36" s="54">
        <v>3</v>
      </c>
      <c r="I36" s="59">
        <v>45</v>
      </c>
      <c r="J36" s="59"/>
      <c r="K36" s="59">
        <v>45</v>
      </c>
      <c r="L36" s="54" t="s">
        <v>101</v>
      </c>
      <c r="M36" s="54" t="s">
        <v>102</v>
      </c>
      <c r="N36" s="54" t="s">
        <v>13</v>
      </c>
      <c r="O36" s="54" t="s">
        <v>103</v>
      </c>
      <c r="P36" s="53" t="s">
        <v>304</v>
      </c>
      <c r="Q36" s="55" t="s">
        <v>14</v>
      </c>
      <c r="R36" s="53">
        <v>22</v>
      </c>
      <c r="S36" s="53">
        <v>22</v>
      </c>
      <c r="T36" s="56">
        <f t="shared" si="3"/>
        <v>23</v>
      </c>
      <c r="U36" s="57">
        <v>0.99</v>
      </c>
      <c r="V36" s="52">
        <f t="shared" si="1"/>
      </c>
      <c r="W36" s="18">
        <f t="shared" si="0"/>
        <v>0</v>
      </c>
      <c r="X36" s="23"/>
      <c r="Y36" s="23"/>
      <c r="Z36" s="24"/>
      <c r="AB36" s="24"/>
    </row>
    <row r="37" spans="1:28" s="25" customFormat="1" ht="150" customHeight="1">
      <c r="A37" s="53">
        <f t="shared" si="2"/>
        <v>34</v>
      </c>
      <c r="B37" s="53" t="s">
        <v>29</v>
      </c>
      <c r="C37" s="54">
        <v>3</v>
      </c>
      <c r="D37" s="54" t="s">
        <v>10</v>
      </c>
      <c r="E37" s="58">
        <v>240</v>
      </c>
      <c r="F37" s="54"/>
      <c r="G37" s="54"/>
      <c r="H37" s="54">
        <f>214-1-1-3-26</f>
        <v>183</v>
      </c>
      <c r="I37" s="56">
        <f>240-H37</f>
        <v>57</v>
      </c>
      <c r="J37" s="56"/>
      <c r="K37" s="59">
        <f>31+26</f>
        <v>57</v>
      </c>
      <c r="L37" s="54">
        <v>112.21</v>
      </c>
      <c r="M37" s="58" t="s">
        <v>130</v>
      </c>
      <c r="N37" s="54" t="s">
        <v>13</v>
      </c>
      <c r="O37" s="54" t="s">
        <v>111</v>
      </c>
      <c r="P37" s="53" t="s">
        <v>290</v>
      </c>
      <c r="Q37" s="55" t="s">
        <v>14</v>
      </c>
      <c r="R37" s="53">
        <v>42</v>
      </c>
      <c r="S37" s="53">
        <v>42</v>
      </c>
      <c r="T37" s="56">
        <f t="shared" si="3"/>
        <v>15</v>
      </c>
      <c r="U37" s="57">
        <v>0.98</v>
      </c>
      <c r="V37" s="52">
        <f t="shared" si="1"/>
      </c>
      <c r="W37" s="18">
        <f t="shared" si="0"/>
        <v>0</v>
      </c>
      <c r="X37" s="23"/>
      <c r="Y37" s="23"/>
      <c r="Z37" s="24"/>
      <c r="AB37" s="24"/>
    </row>
    <row r="38" spans="1:28" s="25" customFormat="1" ht="189" customHeight="1">
      <c r="A38" s="53">
        <f t="shared" si="2"/>
        <v>35</v>
      </c>
      <c r="B38" s="53" t="s">
        <v>184</v>
      </c>
      <c r="C38" s="54">
        <v>3</v>
      </c>
      <c r="D38" s="54" t="s">
        <v>10</v>
      </c>
      <c r="E38" s="58">
        <v>200</v>
      </c>
      <c r="F38" s="54">
        <v>78</v>
      </c>
      <c r="G38" s="54" t="s">
        <v>240</v>
      </c>
      <c r="H38" s="54">
        <v>22</v>
      </c>
      <c r="I38" s="56">
        <v>100</v>
      </c>
      <c r="J38" s="56"/>
      <c r="K38" s="56">
        <v>100</v>
      </c>
      <c r="L38" s="54">
        <v>112.21</v>
      </c>
      <c r="M38" s="58" t="s">
        <v>414</v>
      </c>
      <c r="N38" s="54" t="s">
        <v>13</v>
      </c>
      <c r="O38" s="54" t="s">
        <v>415</v>
      </c>
      <c r="P38" s="53" t="s">
        <v>305</v>
      </c>
      <c r="Q38" s="55" t="s">
        <v>14</v>
      </c>
      <c r="R38" s="53">
        <v>9</v>
      </c>
      <c r="S38" s="53">
        <v>9</v>
      </c>
      <c r="T38" s="56">
        <f t="shared" si="3"/>
        <v>91</v>
      </c>
      <c r="U38" s="57">
        <v>0.06</v>
      </c>
      <c r="V38" s="52">
        <f t="shared" si="1"/>
      </c>
      <c r="W38" s="18">
        <f t="shared" si="0"/>
        <v>0</v>
      </c>
      <c r="X38" s="23"/>
      <c r="Y38" s="23"/>
      <c r="Z38" s="24"/>
      <c r="AB38" s="24"/>
    </row>
    <row r="39" spans="1:28" s="25" customFormat="1" ht="150" customHeight="1">
      <c r="A39" s="53">
        <f t="shared" si="2"/>
        <v>36</v>
      </c>
      <c r="B39" s="53" t="s">
        <v>92</v>
      </c>
      <c r="C39" s="54">
        <v>7</v>
      </c>
      <c r="D39" s="54" t="s">
        <v>9</v>
      </c>
      <c r="E39" s="58">
        <v>200</v>
      </c>
      <c r="F39" s="54"/>
      <c r="G39" s="54"/>
      <c r="H39" s="54">
        <f>165-1-2</f>
        <v>162</v>
      </c>
      <c r="I39" s="56">
        <f>35+1+2</f>
        <v>38</v>
      </c>
      <c r="J39" s="56"/>
      <c r="K39" s="59">
        <f>36+2</f>
        <v>38</v>
      </c>
      <c r="L39" s="54" t="s">
        <v>93</v>
      </c>
      <c r="M39" s="58" t="s">
        <v>122</v>
      </c>
      <c r="N39" s="54" t="s">
        <v>13</v>
      </c>
      <c r="O39" s="54" t="s">
        <v>123</v>
      </c>
      <c r="P39" s="53" t="s">
        <v>306</v>
      </c>
      <c r="Q39" s="55" t="s">
        <v>14</v>
      </c>
      <c r="R39" s="53">
        <v>29</v>
      </c>
      <c r="S39" s="53">
        <v>29</v>
      </c>
      <c r="T39" s="56">
        <f t="shared" si="3"/>
        <v>9</v>
      </c>
      <c r="U39" s="57">
        <v>0.97</v>
      </c>
      <c r="V39" s="52">
        <f t="shared" si="1"/>
      </c>
      <c r="W39" s="18">
        <f t="shared" si="0"/>
        <v>0</v>
      </c>
      <c r="X39" s="23"/>
      <c r="Y39" s="23"/>
      <c r="Z39" s="24"/>
      <c r="AB39" s="24"/>
    </row>
    <row r="40" spans="1:28" s="25" customFormat="1" ht="150" customHeight="1">
      <c r="A40" s="53">
        <f t="shared" si="2"/>
        <v>37</v>
      </c>
      <c r="B40" s="53" t="s">
        <v>78</v>
      </c>
      <c r="C40" s="54">
        <v>2</v>
      </c>
      <c r="D40" s="54" t="s">
        <v>10</v>
      </c>
      <c r="E40" s="58">
        <v>516</v>
      </c>
      <c r="F40" s="54">
        <v>63</v>
      </c>
      <c r="G40" s="54" t="s">
        <v>20</v>
      </c>
      <c r="H40" s="54">
        <f>135-1-16</f>
        <v>118</v>
      </c>
      <c r="I40" s="56">
        <f>+E40-F40-H40</f>
        <v>335</v>
      </c>
      <c r="J40" s="56"/>
      <c r="K40" s="59">
        <f>70+1+16+62</f>
        <v>149</v>
      </c>
      <c r="L40" s="54" t="s">
        <v>79</v>
      </c>
      <c r="M40" s="58" t="s">
        <v>375</v>
      </c>
      <c r="N40" s="54" t="s">
        <v>13</v>
      </c>
      <c r="O40" s="54" t="s">
        <v>376</v>
      </c>
      <c r="P40" s="53" t="s">
        <v>307</v>
      </c>
      <c r="Q40" s="55" t="s">
        <v>14</v>
      </c>
      <c r="R40" s="53">
        <v>25</v>
      </c>
      <c r="S40" s="53">
        <v>25</v>
      </c>
      <c r="T40" s="56">
        <f t="shared" si="3"/>
        <v>124</v>
      </c>
      <c r="U40" s="57">
        <v>0.98</v>
      </c>
      <c r="V40" s="52">
        <f t="shared" si="1"/>
      </c>
      <c r="W40" s="18">
        <f t="shared" si="0"/>
        <v>0</v>
      </c>
      <c r="X40" s="23"/>
      <c r="Y40" s="23"/>
      <c r="Z40" s="24"/>
      <c r="AB40" s="24"/>
    </row>
    <row r="41" spans="1:28" s="25" customFormat="1" ht="150" customHeight="1">
      <c r="A41" s="53">
        <f t="shared" si="2"/>
        <v>38</v>
      </c>
      <c r="B41" s="53" t="s">
        <v>136</v>
      </c>
      <c r="C41" s="54">
        <v>4</v>
      </c>
      <c r="D41" s="54" t="s">
        <v>9</v>
      </c>
      <c r="E41" s="58">
        <v>510</v>
      </c>
      <c r="F41" s="54">
        <v>40</v>
      </c>
      <c r="G41" s="54" t="s">
        <v>20</v>
      </c>
      <c r="H41" s="54">
        <v>60</v>
      </c>
      <c r="I41" s="56">
        <v>410</v>
      </c>
      <c r="J41" s="64"/>
      <c r="K41" s="56">
        <v>118</v>
      </c>
      <c r="L41" s="54" t="s">
        <v>137</v>
      </c>
      <c r="M41" s="58" t="s">
        <v>138</v>
      </c>
      <c r="N41" s="54" t="s">
        <v>13</v>
      </c>
      <c r="O41" s="54" t="s">
        <v>139</v>
      </c>
      <c r="P41" s="53" t="s">
        <v>296</v>
      </c>
      <c r="Q41" s="55" t="s">
        <v>14</v>
      </c>
      <c r="R41" s="53">
        <v>98</v>
      </c>
      <c r="S41" s="53">
        <v>98</v>
      </c>
      <c r="T41" s="56">
        <f t="shared" si="3"/>
        <v>20</v>
      </c>
      <c r="U41" s="57">
        <v>0.71</v>
      </c>
      <c r="V41" s="52">
        <f t="shared" si="1"/>
      </c>
      <c r="W41" s="18">
        <f t="shared" si="0"/>
        <v>0</v>
      </c>
      <c r="X41" s="23"/>
      <c r="Y41" s="23"/>
      <c r="Z41" s="24"/>
      <c r="AB41" s="24"/>
    </row>
    <row r="42" spans="1:28" s="25" customFormat="1" ht="150" customHeight="1">
      <c r="A42" s="53">
        <f t="shared" si="2"/>
        <v>39</v>
      </c>
      <c r="B42" s="53" t="s">
        <v>27</v>
      </c>
      <c r="C42" s="54">
        <v>4</v>
      </c>
      <c r="D42" s="54" t="s">
        <v>10</v>
      </c>
      <c r="E42" s="58">
        <v>774</v>
      </c>
      <c r="F42" s="54">
        <v>232</v>
      </c>
      <c r="G42" s="54" t="s">
        <v>20</v>
      </c>
      <c r="H42" s="54">
        <v>259</v>
      </c>
      <c r="I42" s="56">
        <v>283</v>
      </c>
      <c r="J42" s="56"/>
      <c r="K42" s="59">
        <v>263</v>
      </c>
      <c r="L42" s="54" t="s">
        <v>28</v>
      </c>
      <c r="M42" s="58" t="s">
        <v>467</v>
      </c>
      <c r="N42" s="54" t="s">
        <v>13</v>
      </c>
      <c r="O42" s="54" t="s">
        <v>468</v>
      </c>
      <c r="P42" s="53" t="s">
        <v>537</v>
      </c>
      <c r="Q42" s="55" t="s">
        <v>14</v>
      </c>
      <c r="R42" s="53">
        <v>17</v>
      </c>
      <c r="S42" s="53">
        <v>17</v>
      </c>
      <c r="T42" s="56">
        <f>+K42-S42</f>
        <v>246</v>
      </c>
      <c r="U42" s="57">
        <v>0.97</v>
      </c>
      <c r="V42" s="52">
        <f t="shared" si="1"/>
      </c>
      <c r="W42" s="18">
        <f t="shared" si="0"/>
        <v>0</v>
      </c>
      <c r="X42" s="23"/>
      <c r="Y42" s="23"/>
      <c r="Z42" s="24"/>
      <c r="AB42" s="24"/>
    </row>
    <row r="43" spans="1:28" s="25" customFormat="1" ht="150" customHeight="1">
      <c r="A43" s="53">
        <f t="shared" si="2"/>
        <v>40</v>
      </c>
      <c r="B43" s="53" t="s">
        <v>180</v>
      </c>
      <c r="C43" s="54">
        <v>3</v>
      </c>
      <c r="D43" s="54" t="s">
        <v>10</v>
      </c>
      <c r="E43" s="58">
        <v>960</v>
      </c>
      <c r="F43" s="54" t="s">
        <v>177</v>
      </c>
      <c r="G43" s="54" t="s">
        <v>178</v>
      </c>
      <c r="H43" s="54">
        <v>225</v>
      </c>
      <c r="I43" s="56">
        <v>253</v>
      </c>
      <c r="J43" s="56"/>
      <c r="K43" s="56">
        <v>221</v>
      </c>
      <c r="L43" s="54" t="s">
        <v>179</v>
      </c>
      <c r="M43" s="58" t="s">
        <v>412</v>
      </c>
      <c r="N43" s="54" t="s">
        <v>13</v>
      </c>
      <c r="O43" s="54" t="s">
        <v>413</v>
      </c>
      <c r="P43" s="53" t="s">
        <v>305</v>
      </c>
      <c r="Q43" s="55" t="s">
        <v>14</v>
      </c>
      <c r="R43" s="53">
        <v>121</v>
      </c>
      <c r="S43" s="53">
        <v>121</v>
      </c>
      <c r="T43" s="56">
        <f>+K43-S43</f>
        <v>100</v>
      </c>
      <c r="U43" s="57">
        <v>0.71</v>
      </c>
      <c r="V43" s="52">
        <f t="shared" si="1"/>
      </c>
      <c r="W43" s="18">
        <f t="shared" si="0"/>
        <v>0</v>
      </c>
      <c r="X43" s="23"/>
      <c r="Y43" s="23"/>
      <c r="Z43" s="24"/>
      <c r="AB43" s="24"/>
    </row>
    <row r="44" spans="1:28" s="25" customFormat="1" ht="150" customHeight="1">
      <c r="A44" s="53">
        <f t="shared" si="2"/>
        <v>41</v>
      </c>
      <c r="B44" s="53" t="s">
        <v>80</v>
      </c>
      <c r="C44" s="54">
        <v>6</v>
      </c>
      <c r="D44" s="54" t="s">
        <v>10</v>
      </c>
      <c r="E44" s="58">
        <v>1160</v>
      </c>
      <c r="F44" s="54" t="s">
        <v>146</v>
      </c>
      <c r="G44" s="54" t="s">
        <v>147</v>
      </c>
      <c r="H44" s="54">
        <f>86+148</f>
        <v>234</v>
      </c>
      <c r="I44" s="56">
        <f>+E44-336-32-H44-59</f>
        <v>499</v>
      </c>
      <c r="J44" s="56"/>
      <c r="K44" s="59">
        <f>163-59+142</f>
        <v>246</v>
      </c>
      <c r="L44" s="54" t="s">
        <v>81</v>
      </c>
      <c r="M44" s="58" t="s">
        <v>555</v>
      </c>
      <c r="N44" s="54" t="s">
        <v>13</v>
      </c>
      <c r="O44" s="54" t="s">
        <v>556</v>
      </c>
      <c r="P44" s="53" t="s">
        <v>308</v>
      </c>
      <c r="Q44" s="55" t="s">
        <v>14</v>
      </c>
      <c r="R44" s="53">
        <v>69</v>
      </c>
      <c r="S44" s="53">
        <v>69</v>
      </c>
      <c r="T44" s="56">
        <f>+K44-S44</f>
        <v>177</v>
      </c>
      <c r="U44" s="57">
        <v>1</v>
      </c>
      <c r="V44" s="52">
        <f t="shared" si="1"/>
      </c>
      <c r="W44" s="18">
        <f t="shared" si="0"/>
        <v>0</v>
      </c>
      <c r="X44" s="23"/>
      <c r="Y44" s="23"/>
      <c r="Z44" s="24"/>
      <c r="AB44" s="24"/>
    </row>
    <row r="45" spans="1:28" s="25" customFormat="1" ht="150" customHeight="1">
      <c r="A45" s="53">
        <f t="shared" si="2"/>
        <v>42</v>
      </c>
      <c r="B45" s="53" t="s">
        <v>351</v>
      </c>
      <c r="C45" s="54">
        <v>6</v>
      </c>
      <c r="D45" s="54" t="s">
        <v>10</v>
      </c>
      <c r="E45" s="58">
        <v>456</v>
      </c>
      <c r="F45" s="54" t="s">
        <v>355</v>
      </c>
      <c r="G45" s="54" t="s">
        <v>352</v>
      </c>
      <c r="H45" s="54">
        <v>8</v>
      </c>
      <c r="I45" s="56">
        <v>168</v>
      </c>
      <c r="J45" s="56"/>
      <c r="K45" s="56">
        <v>68</v>
      </c>
      <c r="L45" s="54">
        <v>120.18</v>
      </c>
      <c r="M45" s="58" t="s">
        <v>353</v>
      </c>
      <c r="N45" s="54" t="s">
        <v>13</v>
      </c>
      <c r="O45" s="54" t="s">
        <v>354</v>
      </c>
      <c r="P45" s="53" t="s">
        <v>332</v>
      </c>
      <c r="Q45" s="55" t="s">
        <v>14</v>
      </c>
      <c r="R45" s="53">
        <v>19</v>
      </c>
      <c r="S45" s="53">
        <v>19</v>
      </c>
      <c r="T45" s="56">
        <f>+K45-S45</f>
        <v>49</v>
      </c>
      <c r="U45" s="57">
        <v>0.98</v>
      </c>
      <c r="V45" s="52">
        <f t="shared" si="1"/>
      </c>
      <c r="W45" s="18">
        <f t="shared" si="0"/>
        <v>0</v>
      </c>
      <c r="X45" s="23"/>
      <c r="Y45" s="23"/>
      <c r="Z45" s="24"/>
      <c r="AB45" s="24"/>
    </row>
    <row r="46" spans="1:28" s="25" customFormat="1" ht="150" customHeight="1">
      <c r="A46" s="53">
        <f t="shared" si="2"/>
        <v>43</v>
      </c>
      <c r="B46" s="53" t="s">
        <v>39</v>
      </c>
      <c r="C46" s="54">
        <v>7</v>
      </c>
      <c r="D46" s="54" t="s">
        <v>10</v>
      </c>
      <c r="E46" s="58">
        <v>96</v>
      </c>
      <c r="F46" s="54" t="s">
        <v>40</v>
      </c>
      <c r="G46" s="54" t="s">
        <v>41</v>
      </c>
      <c r="H46" s="54">
        <v>2</v>
      </c>
      <c r="I46" s="56">
        <v>14</v>
      </c>
      <c r="J46" s="56"/>
      <c r="K46" s="59">
        <v>14</v>
      </c>
      <c r="L46" s="54">
        <v>106.63</v>
      </c>
      <c r="M46" s="58" t="s">
        <v>112</v>
      </c>
      <c r="N46" s="54" t="s">
        <v>13</v>
      </c>
      <c r="O46" s="54" t="s">
        <v>113</v>
      </c>
      <c r="P46" s="53" t="s">
        <v>290</v>
      </c>
      <c r="Q46" s="55" t="s">
        <v>14</v>
      </c>
      <c r="R46" s="53">
        <v>13</v>
      </c>
      <c r="S46" s="53">
        <v>13</v>
      </c>
      <c r="T46" s="56">
        <f aca="true" t="shared" si="4" ref="T46:T63">+K46-S46</f>
        <v>1</v>
      </c>
      <c r="U46" s="57">
        <v>0.91</v>
      </c>
      <c r="V46" s="52">
        <f t="shared" si="1"/>
      </c>
      <c r="W46" s="18">
        <f t="shared" si="0"/>
        <v>0</v>
      </c>
      <c r="X46" s="23"/>
      <c r="Y46" s="23"/>
      <c r="Z46" s="24"/>
      <c r="AB46" s="24"/>
    </row>
    <row r="47" spans="1:28" s="25" customFormat="1" ht="183" customHeight="1">
      <c r="A47" s="53">
        <f>A46+1</f>
        <v>44</v>
      </c>
      <c r="B47" s="53" t="s">
        <v>515</v>
      </c>
      <c r="C47" s="54">
        <v>5</v>
      </c>
      <c r="D47" s="54" t="s">
        <v>10</v>
      </c>
      <c r="E47" s="58">
        <v>80</v>
      </c>
      <c r="F47" s="54"/>
      <c r="G47" s="54"/>
      <c r="H47" s="54">
        <v>63</v>
      </c>
      <c r="I47" s="56">
        <v>17</v>
      </c>
      <c r="J47" s="56"/>
      <c r="K47" s="56">
        <v>17</v>
      </c>
      <c r="L47" s="54">
        <v>77.96</v>
      </c>
      <c r="M47" s="58" t="s">
        <v>516</v>
      </c>
      <c r="N47" s="54">
        <v>180</v>
      </c>
      <c r="O47" s="54" t="s">
        <v>517</v>
      </c>
      <c r="P47" s="53" t="s">
        <v>514</v>
      </c>
      <c r="Q47" s="55" t="s">
        <v>14</v>
      </c>
      <c r="R47" s="53">
        <v>13</v>
      </c>
      <c r="S47" s="53">
        <v>13</v>
      </c>
      <c r="T47" s="56">
        <f t="shared" si="4"/>
        <v>4</v>
      </c>
      <c r="U47" s="57">
        <v>0.95</v>
      </c>
      <c r="V47" s="52">
        <f t="shared" si="1"/>
      </c>
      <c r="W47" s="18">
        <f t="shared" si="0"/>
        <v>0</v>
      </c>
      <c r="X47" s="23"/>
      <c r="Y47" s="23"/>
      <c r="Z47" s="24"/>
      <c r="AB47" s="24"/>
    </row>
    <row r="48" spans="1:28" s="25" customFormat="1" ht="150" customHeight="1">
      <c r="A48" s="53">
        <f>A47+1</f>
        <v>45</v>
      </c>
      <c r="B48" s="53" t="s">
        <v>73</v>
      </c>
      <c r="C48" s="54">
        <v>4</v>
      </c>
      <c r="D48" s="54" t="s">
        <v>10</v>
      </c>
      <c r="E48" s="58">
        <v>1376</v>
      </c>
      <c r="F48" s="54" t="s">
        <v>259</v>
      </c>
      <c r="G48" s="54" t="s">
        <v>174</v>
      </c>
      <c r="H48" s="58">
        <v>413</v>
      </c>
      <c r="I48" s="56">
        <f>305+230+256+19</f>
        <v>810</v>
      </c>
      <c r="J48" s="56"/>
      <c r="K48" s="59">
        <f>305+230+256+19</f>
        <v>810</v>
      </c>
      <c r="L48" s="54" t="s">
        <v>74</v>
      </c>
      <c r="M48" s="58" t="s">
        <v>114</v>
      </c>
      <c r="N48" s="54" t="s">
        <v>13</v>
      </c>
      <c r="O48" s="54" t="s">
        <v>115</v>
      </c>
      <c r="P48" s="53" t="s">
        <v>296</v>
      </c>
      <c r="Q48" s="55" t="s">
        <v>14</v>
      </c>
      <c r="R48" s="53">
        <v>745</v>
      </c>
      <c r="S48" s="53">
        <v>745</v>
      </c>
      <c r="T48" s="56">
        <f t="shared" si="4"/>
        <v>65</v>
      </c>
      <c r="U48" s="57">
        <v>0.91</v>
      </c>
      <c r="V48" s="52">
        <f t="shared" si="1"/>
      </c>
      <c r="W48" s="18">
        <f t="shared" si="0"/>
        <v>0</v>
      </c>
      <c r="X48" s="23"/>
      <c r="Y48" s="23"/>
      <c r="Z48" s="24"/>
      <c r="AB48" s="24"/>
    </row>
    <row r="49" spans="1:28" s="25" customFormat="1" ht="150" customHeight="1">
      <c r="A49" s="53">
        <f t="shared" si="2"/>
        <v>46</v>
      </c>
      <c r="B49" s="53" t="s">
        <v>75</v>
      </c>
      <c r="C49" s="54">
        <v>3</v>
      </c>
      <c r="D49" s="54" t="s">
        <v>9</v>
      </c>
      <c r="E49" s="58">
        <v>144</v>
      </c>
      <c r="F49" s="54"/>
      <c r="G49" s="54"/>
      <c r="H49" s="54">
        <v>38</v>
      </c>
      <c r="I49" s="56">
        <f>+E49-H49</f>
        <v>106</v>
      </c>
      <c r="J49" s="56"/>
      <c r="K49" s="59">
        <f>76+16</f>
        <v>92</v>
      </c>
      <c r="L49" s="54">
        <v>116.05</v>
      </c>
      <c r="M49" s="58" t="s">
        <v>429</v>
      </c>
      <c r="N49" s="54" t="s">
        <v>13</v>
      </c>
      <c r="O49" s="54" t="s">
        <v>430</v>
      </c>
      <c r="P49" s="53" t="s">
        <v>290</v>
      </c>
      <c r="Q49" s="55" t="s">
        <v>14</v>
      </c>
      <c r="R49" s="53">
        <v>58</v>
      </c>
      <c r="S49" s="53">
        <v>58</v>
      </c>
      <c r="T49" s="56">
        <f t="shared" si="4"/>
        <v>34</v>
      </c>
      <c r="U49" s="57">
        <v>0.95</v>
      </c>
      <c r="V49" s="52">
        <f t="shared" si="1"/>
      </c>
      <c r="W49" s="18">
        <f t="shared" si="0"/>
        <v>0</v>
      </c>
      <c r="X49" s="23"/>
      <c r="Y49" s="23"/>
      <c r="Z49" s="24"/>
      <c r="AB49" s="24"/>
    </row>
    <row r="50" spans="1:28" s="25" customFormat="1" ht="150" customHeight="1">
      <c r="A50" s="66">
        <f>A49+1</f>
        <v>47</v>
      </c>
      <c r="B50" s="66" t="s">
        <v>544</v>
      </c>
      <c r="C50" s="67">
        <v>8</v>
      </c>
      <c r="D50" s="67" t="s">
        <v>10</v>
      </c>
      <c r="E50" s="68">
        <v>456</v>
      </c>
      <c r="F50" s="67"/>
      <c r="G50" s="67"/>
      <c r="H50" s="67">
        <v>424</v>
      </c>
      <c r="I50" s="72">
        <v>32</v>
      </c>
      <c r="J50" s="72">
        <v>32</v>
      </c>
      <c r="K50" s="69"/>
      <c r="L50" s="67" t="s">
        <v>545</v>
      </c>
      <c r="M50" s="68" t="s">
        <v>546</v>
      </c>
      <c r="N50" s="67" t="s">
        <v>369</v>
      </c>
      <c r="O50" s="67" t="s">
        <v>547</v>
      </c>
      <c r="P50" s="66" t="s">
        <v>533</v>
      </c>
      <c r="Q50" s="71" t="s">
        <v>14</v>
      </c>
      <c r="R50" s="66"/>
      <c r="S50" s="66"/>
      <c r="T50" s="72"/>
      <c r="U50" s="73">
        <v>0.97</v>
      </c>
      <c r="V50" s="52"/>
      <c r="W50" s="18">
        <f t="shared" si="0"/>
        <v>0</v>
      </c>
      <c r="X50" s="23"/>
      <c r="Y50" s="23"/>
      <c r="Z50" s="24"/>
      <c r="AB50" s="24"/>
    </row>
    <row r="51" spans="1:28" s="25" customFormat="1" ht="150" customHeight="1">
      <c r="A51" s="66">
        <f>A50+1</f>
        <v>48</v>
      </c>
      <c r="B51" s="66" t="s">
        <v>548</v>
      </c>
      <c r="C51" s="67">
        <v>8</v>
      </c>
      <c r="D51" s="67" t="s">
        <v>10</v>
      </c>
      <c r="E51" s="68">
        <v>240</v>
      </c>
      <c r="F51" s="67"/>
      <c r="G51" s="67"/>
      <c r="H51" s="67">
        <v>208</v>
      </c>
      <c r="I51" s="72">
        <v>32</v>
      </c>
      <c r="J51" s="72">
        <v>32</v>
      </c>
      <c r="K51" s="69"/>
      <c r="L51" s="67" t="s">
        <v>549</v>
      </c>
      <c r="M51" s="68" t="s">
        <v>550</v>
      </c>
      <c r="N51" s="67" t="s">
        <v>369</v>
      </c>
      <c r="O51" s="67" t="s">
        <v>551</v>
      </c>
      <c r="P51" s="66" t="s">
        <v>533</v>
      </c>
      <c r="Q51" s="71" t="s">
        <v>14</v>
      </c>
      <c r="R51" s="66"/>
      <c r="S51" s="66"/>
      <c r="T51" s="72"/>
      <c r="U51" s="73">
        <v>0.91</v>
      </c>
      <c r="V51" s="52"/>
      <c r="W51" s="18">
        <f t="shared" si="0"/>
        <v>0</v>
      </c>
      <c r="X51" s="23"/>
      <c r="Y51" s="23"/>
      <c r="Z51" s="24"/>
      <c r="AB51" s="24"/>
    </row>
    <row r="52" spans="1:28" s="25" customFormat="1" ht="150" customHeight="1">
      <c r="A52" s="53">
        <f>A51+1</f>
        <v>49</v>
      </c>
      <c r="B52" s="53" t="s">
        <v>61</v>
      </c>
      <c r="C52" s="54">
        <v>7</v>
      </c>
      <c r="D52" s="54" t="s">
        <v>10</v>
      </c>
      <c r="E52" s="58">
        <v>416</v>
      </c>
      <c r="F52" s="54"/>
      <c r="G52" s="54"/>
      <c r="H52" s="54">
        <f>101-1-1-2-2-1-1</f>
        <v>93</v>
      </c>
      <c r="I52" s="56">
        <f>315+1+1+2+2+1+1</f>
        <v>323</v>
      </c>
      <c r="J52" s="56"/>
      <c r="K52" s="59">
        <f>107+1+1+64+2+2+1+1+64+80</f>
        <v>323</v>
      </c>
      <c r="L52" s="54">
        <v>106.63</v>
      </c>
      <c r="M52" s="58" t="s">
        <v>395</v>
      </c>
      <c r="N52" s="54" t="s">
        <v>13</v>
      </c>
      <c r="O52" s="54" t="s">
        <v>396</v>
      </c>
      <c r="P52" s="53" t="s">
        <v>290</v>
      </c>
      <c r="Q52" s="55" t="s">
        <v>14</v>
      </c>
      <c r="R52" s="53">
        <v>289</v>
      </c>
      <c r="S52" s="53">
        <v>289</v>
      </c>
      <c r="T52" s="56">
        <f t="shared" si="4"/>
        <v>34</v>
      </c>
      <c r="U52" s="57">
        <v>0.99</v>
      </c>
      <c r="V52" s="52">
        <f t="shared" si="1"/>
      </c>
      <c r="W52" s="18">
        <f t="shared" si="0"/>
        <v>0</v>
      </c>
      <c r="X52" s="23"/>
      <c r="Y52" s="23"/>
      <c r="Z52" s="24"/>
      <c r="AB52" s="24"/>
    </row>
    <row r="53" spans="1:28" s="25" customFormat="1" ht="150" customHeight="1">
      <c r="A53" s="53">
        <f>A52+1</f>
        <v>50</v>
      </c>
      <c r="B53" s="53" t="s">
        <v>37</v>
      </c>
      <c r="C53" s="54">
        <v>4</v>
      </c>
      <c r="D53" s="54" t="s">
        <v>10</v>
      </c>
      <c r="E53" s="58">
        <v>96</v>
      </c>
      <c r="F53" s="54">
        <v>61</v>
      </c>
      <c r="G53" s="54" t="s">
        <v>38</v>
      </c>
      <c r="H53" s="54">
        <v>0</v>
      </c>
      <c r="I53" s="56">
        <v>35</v>
      </c>
      <c r="J53" s="56"/>
      <c r="K53" s="59">
        <v>35</v>
      </c>
      <c r="L53" s="54">
        <v>106.63</v>
      </c>
      <c r="M53" s="58" t="s">
        <v>116</v>
      </c>
      <c r="N53" s="54">
        <v>240</v>
      </c>
      <c r="O53" s="54" t="s">
        <v>131</v>
      </c>
      <c r="P53" s="53" t="s">
        <v>290</v>
      </c>
      <c r="Q53" s="55" t="s">
        <v>14</v>
      </c>
      <c r="R53" s="53">
        <v>3</v>
      </c>
      <c r="S53" s="53">
        <v>3</v>
      </c>
      <c r="T53" s="56">
        <f t="shared" si="4"/>
        <v>32</v>
      </c>
      <c r="U53" s="57">
        <v>1</v>
      </c>
      <c r="V53" s="52">
        <f t="shared" si="1"/>
      </c>
      <c r="W53" s="18">
        <f t="shared" si="0"/>
        <v>0</v>
      </c>
      <c r="X53" s="23"/>
      <c r="Y53" s="23"/>
      <c r="Z53" s="24"/>
      <c r="AB53" s="24"/>
    </row>
    <row r="54" spans="1:28" s="25" customFormat="1" ht="150" customHeight="1">
      <c r="A54" s="53">
        <f t="shared" si="2"/>
        <v>51</v>
      </c>
      <c r="B54" s="53" t="s">
        <v>36</v>
      </c>
      <c r="C54" s="54">
        <v>4</v>
      </c>
      <c r="D54" s="54" t="s">
        <v>10</v>
      </c>
      <c r="E54" s="58">
        <v>45</v>
      </c>
      <c r="F54" s="54">
        <v>26</v>
      </c>
      <c r="G54" s="54" t="s">
        <v>38</v>
      </c>
      <c r="H54" s="54">
        <v>0</v>
      </c>
      <c r="I54" s="56">
        <v>19</v>
      </c>
      <c r="J54" s="56"/>
      <c r="K54" s="59">
        <v>19</v>
      </c>
      <c r="L54" s="54">
        <v>98.16</v>
      </c>
      <c r="M54" s="58" t="s">
        <v>117</v>
      </c>
      <c r="N54" s="54">
        <v>240</v>
      </c>
      <c r="O54" s="54" t="s">
        <v>132</v>
      </c>
      <c r="P54" s="53" t="s">
        <v>290</v>
      </c>
      <c r="Q54" s="55" t="s">
        <v>14</v>
      </c>
      <c r="R54" s="53">
        <v>0</v>
      </c>
      <c r="S54" s="53">
        <v>0</v>
      </c>
      <c r="T54" s="56">
        <f t="shared" si="4"/>
        <v>19</v>
      </c>
      <c r="U54" s="57">
        <v>1</v>
      </c>
      <c r="V54" s="52">
        <f t="shared" si="1"/>
      </c>
      <c r="W54" s="18">
        <f t="shared" si="0"/>
        <v>0</v>
      </c>
      <c r="X54" s="23"/>
      <c r="Y54" s="23"/>
      <c r="Z54" s="24"/>
      <c r="AB54" s="24"/>
    </row>
    <row r="55" spans="1:28" s="25" customFormat="1" ht="150" customHeight="1">
      <c r="A55" s="53">
        <f>A54+1</f>
        <v>52</v>
      </c>
      <c r="B55" s="53" t="s">
        <v>521</v>
      </c>
      <c r="C55" s="54">
        <v>8</v>
      </c>
      <c r="D55" s="54" t="s">
        <v>10</v>
      </c>
      <c r="E55" s="58">
        <v>96</v>
      </c>
      <c r="F55" s="54"/>
      <c r="G55" s="54"/>
      <c r="H55" s="54">
        <v>54</v>
      </c>
      <c r="I55" s="56">
        <v>42</v>
      </c>
      <c r="J55" s="56"/>
      <c r="K55" s="56">
        <v>42</v>
      </c>
      <c r="L55" s="54" t="s">
        <v>522</v>
      </c>
      <c r="M55" s="58" t="s">
        <v>523</v>
      </c>
      <c r="N55" s="54">
        <v>180</v>
      </c>
      <c r="O55" s="54" t="s">
        <v>525</v>
      </c>
      <c r="P55" s="53" t="s">
        <v>524</v>
      </c>
      <c r="Q55" s="55" t="s">
        <v>14</v>
      </c>
      <c r="R55" s="53">
        <v>11</v>
      </c>
      <c r="S55" s="53">
        <v>11</v>
      </c>
      <c r="T55" s="56">
        <f t="shared" si="4"/>
        <v>31</v>
      </c>
      <c r="U55" s="57">
        <v>0.98</v>
      </c>
      <c r="V55" s="52">
        <f t="shared" si="1"/>
      </c>
      <c r="W55" s="18">
        <f t="shared" si="0"/>
        <v>0</v>
      </c>
      <c r="X55" s="23"/>
      <c r="Y55" s="23"/>
      <c r="Z55" s="24"/>
      <c r="AB55" s="24"/>
    </row>
    <row r="56" spans="1:28" s="25" customFormat="1" ht="150" customHeight="1">
      <c r="A56" s="53">
        <f>A55+1</f>
        <v>53</v>
      </c>
      <c r="B56" s="53" t="s">
        <v>341</v>
      </c>
      <c r="C56" s="54">
        <v>3</v>
      </c>
      <c r="D56" s="54" t="s">
        <v>10</v>
      </c>
      <c r="E56" s="58">
        <v>312</v>
      </c>
      <c r="F56" s="54">
        <v>120</v>
      </c>
      <c r="G56" s="54" t="s">
        <v>189</v>
      </c>
      <c r="H56" s="54">
        <f>2-2</f>
        <v>0</v>
      </c>
      <c r="I56" s="56">
        <v>192</v>
      </c>
      <c r="J56" s="56"/>
      <c r="K56" s="56">
        <f>70+96+26</f>
        <v>192</v>
      </c>
      <c r="L56" s="54">
        <v>120.18</v>
      </c>
      <c r="M56" s="58" t="s">
        <v>417</v>
      </c>
      <c r="N56" s="54" t="s">
        <v>13</v>
      </c>
      <c r="O56" s="54" t="s">
        <v>418</v>
      </c>
      <c r="P56" s="53" t="s">
        <v>288</v>
      </c>
      <c r="Q56" s="55" t="s">
        <v>14</v>
      </c>
      <c r="R56" s="53">
        <v>189</v>
      </c>
      <c r="S56" s="53">
        <v>189</v>
      </c>
      <c r="T56" s="56">
        <f t="shared" si="4"/>
        <v>3</v>
      </c>
      <c r="U56" s="57">
        <v>0.83</v>
      </c>
      <c r="V56" s="52">
        <f t="shared" si="1"/>
      </c>
      <c r="W56" s="18">
        <f t="shared" si="0"/>
        <v>0</v>
      </c>
      <c r="X56" s="23"/>
      <c r="Y56" s="23"/>
      <c r="Z56" s="24"/>
      <c r="AB56" s="24"/>
    </row>
    <row r="57" spans="1:28" s="25" customFormat="1" ht="237" customHeight="1">
      <c r="A57" s="53">
        <f t="shared" si="2"/>
        <v>54</v>
      </c>
      <c r="B57" s="53" t="s">
        <v>162</v>
      </c>
      <c r="C57" s="54">
        <v>5</v>
      </c>
      <c r="D57" s="54" t="s">
        <v>10</v>
      </c>
      <c r="E57" s="58">
        <v>504</v>
      </c>
      <c r="F57" s="54"/>
      <c r="G57" s="54"/>
      <c r="H57" s="54">
        <v>481</v>
      </c>
      <c r="I57" s="56">
        <v>23</v>
      </c>
      <c r="J57" s="56"/>
      <c r="K57" s="56">
        <v>23</v>
      </c>
      <c r="L57" s="54">
        <v>84.43</v>
      </c>
      <c r="M57" s="58" t="s">
        <v>540</v>
      </c>
      <c r="N57" s="54">
        <v>180</v>
      </c>
      <c r="O57" s="54" t="s">
        <v>541</v>
      </c>
      <c r="P57" s="53" t="s">
        <v>539</v>
      </c>
      <c r="Q57" s="55" t="s">
        <v>14</v>
      </c>
      <c r="R57" s="53">
        <v>0</v>
      </c>
      <c r="S57" s="53">
        <v>0</v>
      </c>
      <c r="T57" s="56">
        <f t="shared" si="4"/>
        <v>23</v>
      </c>
      <c r="U57" s="57">
        <v>0.83</v>
      </c>
      <c r="V57" s="52">
        <f t="shared" si="1"/>
      </c>
      <c r="W57" s="18">
        <f t="shared" si="0"/>
        <v>0</v>
      </c>
      <c r="X57" s="23"/>
      <c r="Y57" s="23"/>
      <c r="Z57" s="24"/>
      <c r="AB57" s="24"/>
    </row>
    <row r="58" spans="1:28" s="25" customFormat="1" ht="186" customHeight="1">
      <c r="A58" s="53">
        <f t="shared" si="2"/>
        <v>55</v>
      </c>
      <c r="B58" s="53" t="s">
        <v>70</v>
      </c>
      <c r="C58" s="54">
        <v>6</v>
      </c>
      <c r="D58" s="54" t="s">
        <v>9</v>
      </c>
      <c r="E58" s="58">
        <v>749</v>
      </c>
      <c r="F58" s="54" t="s">
        <v>504</v>
      </c>
      <c r="G58" s="54" t="s">
        <v>71</v>
      </c>
      <c r="H58" s="54">
        <f>9+18+3+41-2+26-4</f>
        <v>91</v>
      </c>
      <c r="I58" s="56">
        <f>+E58-414-110-H58+17</f>
        <v>151</v>
      </c>
      <c r="J58" s="56"/>
      <c r="K58" s="59">
        <v>123</v>
      </c>
      <c r="L58" s="54" t="s">
        <v>72</v>
      </c>
      <c r="M58" s="58" t="s">
        <v>484</v>
      </c>
      <c r="N58" s="54" t="s">
        <v>13</v>
      </c>
      <c r="O58" s="54" t="s">
        <v>485</v>
      </c>
      <c r="P58" s="53" t="s">
        <v>309</v>
      </c>
      <c r="Q58" s="55" t="s">
        <v>14</v>
      </c>
      <c r="R58" s="53">
        <v>46</v>
      </c>
      <c r="S58" s="53">
        <v>46</v>
      </c>
      <c r="T58" s="56">
        <f t="shared" si="4"/>
        <v>77</v>
      </c>
      <c r="U58" s="57">
        <v>1</v>
      </c>
      <c r="V58" s="52">
        <f>+IF(S58-R58&gt;0,"+","")</f>
      </c>
      <c r="W58" s="18">
        <f t="shared" si="0"/>
        <v>0</v>
      </c>
      <c r="X58" s="23"/>
      <c r="Y58" s="23"/>
      <c r="Z58" s="24"/>
      <c r="AB58" s="24"/>
    </row>
    <row r="59" spans="1:28" s="25" customFormat="1" ht="186" customHeight="1">
      <c r="A59" s="53">
        <f aca="true" t="shared" si="5" ref="A59:A68">A58+1</f>
        <v>56</v>
      </c>
      <c r="B59" s="53" t="s">
        <v>343</v>
      </c>
      <c r="C59" s="54">
        <v>2</v>
      </c>
      <c r="D59" s="54" t="s">
        <v>9</v>
      </c>
      <c r="E59" s="58">
        <v>624</v>
      </c>
      <c r="F59" s="54">
        <v>433</v>
      </c>
      <c r="G59" s="54" t="s">
        <v>23</v>
      </c>
      <c r="H59" s="54">
        <v>29</v>
      </c>
      <c r="I59" s="56">
        <v>162</v>
      </c>
      <c r="J59" s="56"/>
      <c r="K59" s="56">
        <v>162</v>
      </c>
      <c r="L59" s="54" t="s">
        <v>344</v>
      </c>
      <c r="M59" s="58" t="s">
        <v>358</v>
      </c>
      <c r="N59" s="54" t="s">
        <v>13</v>
      </c>
      <c r="O59" s="54" t="s">
        <v>345</v>
      </c>
      <c r="P59" s="53" t="s">
        <v>333</v>
      </c>
      <c r="Q59" s="55" t="s">
        <v>14</v>
      </c>
      <c r="R59" s="53">
        <v>2</v>
      </c>
      <c r="S59" s="53">
        <v>2</v>
      </c>
      <c r="T59" s="56">
        <f t="shared" si="4"/>
        <v>160</v>
      </c>
      <c r="U59" s="57">
        <v>0.55</v>
      </c>
      <c r="V59" s="52">
        <f>+IF(S59-R59&gt;0,"+","")</f>
      </c>
      <c r="W59" s="18">
        <f t="shared" si="0"/>
        <v>0</v>
      </c>
      <c r="X59" s="23"/>
      <c r="Y59" s="23"/>
      <c r="Z59" s="24"/>
      <c r="AB59" s="24"/>
    </row>
    <row r="60" spans="1:28" s="25" customFormat="1" ht="150" customHeight="1">
      <c r="A60" s="53">
        <f t="shared" si="5"/>
        <v>57</v>
      </c>
      <c r="B60" s="53" t="s">
        <v>219</v>
      </c>
      <c r="C60" s="54">
        <v>3</v>
      </c>
      <c r="D60" s="54" t="s">
        <v>10</v>
      </c>
      <c r="E60" s="58">
        <v>312</v>
      </c>
      <c r="F60" s="54">
        <v>72</v>
      </c>
      <c r="G60" s="54" t="s">
        <v>189</v>
      </c>
      <c r="H60" s="54">
        <f>28-11</f>
        <v>17</v>
      </c>
      <c r="I60" s="56">
        <f>212+11</f>
        <v>223</v>
      </c>
      <c r="J60" s="56"/>
      <c r="K60" s="56">
        <f>116+48+11+48</f>
        <v>223</v>
      </c>
      <c r="L60" s="54">
        <v>146.42</v>
      </c>
      <c r="M60" s="58" t="s">
        <v>220</v>
      </c>
      <c r="N60" s="54" t="s">
        <v>221</v>
      </c>
      <c r="O60" s="54" t="s">
        <v>222</v>
      </c>
      <c r="P60" s="53" t="s">
        <v>295</v>
      </c>
      <c r="Q60" s="55" t="s">
        <v>14</v>
      </c>
      <c r="R60" s="53">
        <v>209</v>
      </c>
      <c r="S60" s="53">
        <v>209</v>
      </c>
      <c r="T60" s="56">
        <f t="shared" si="4"/>
        <v>14</v>
      </c>
      <c r="U60" s="57">
        <v>0.99</v>
      </c>
      <c r="V60" s="52">
        <f t="shared" si="1"/>
      </c>
      <c r="W60" s="18">
        <f t="shared" si="0"/>
        <v>0</v>
      </c>
      <c r="X60" s="23"/>
      <c r="Y60" s="23"/>
      <c r="Z60" s="24"/>
      <c r="AB60" s="24"/>
    </row>
    <row r="61" spans="1:28" s="25" customFormat="1" ht="186" customHeight="1">
      <c r="A61" s="53">
        <f t="shared" si="5"/>
        <v>58</v>
      </c>
      <c r="B61" s="53" t="s">
        <v>133</v>
      </c>
      <c r="C61" s="54">
        <v>5</v>
      </c>
      <c r="D61" s="54" t="s">
        <v>10</v>
      </c>
      <c r="E61" s="58">
        <v>160</v>
      </c>
      <c r="F61" s="54" t="s">
        <v>461</v>
      </c>
      <c r="G61" s="54" t="s">
        <v>462</v>
      </c>
      <c r="H61" s="54">
        <v>28</v>
      </c>
      <c r="I61" s="56">
        <f>132-16-64</f>
        <v>52</v>
      </c>
      <c r="J61" s="64"/>
      <c r="K61" s="56">
        <v>52</v>
      </c>
      <c r="L61" s="54">
        <v>83.67</v>
      </c>
      <c r="M61" s="58" t="s">
        <v>134</v>
      </c>
      <c r="N61" s="54">
        <v>180</v>
      </c>
      <c r="O61" s="54" t="s">
        <v>135</v>
      </c>
      <c r="P61" s="53" t="s">
        <v>310</v>
      </c>
      <c r="Q61" s="55" t="s">
        <v>14</v>
      </c>
      <c r="R61" s="53">
        <v>26</v>
      </c>
      <c r="S61" s="53">
        <v>26</v>
      </c>
      <c r="T61" s="56">
        <f t="shared" si="4"/>
        <v>26</v>
      </c>
      <c r="U61" s="57">
        <v>0.99</v>
      </c>
      <c r="V61" s="52">
        <f t="shared" si="1"/>
      </c>
      <c r="W61" s="18">
        <f t="shared" si="0"/>
        <v>0</v>
      </c>
      <c r="X61" s="23"/>
      <c r="Y61" s="23"/>
      <c r="Z61" s="24"/>
      <c r="AB61" s="24"/>
    </row>
    <row r="62" spans="1:28" s="25" customFormat="1" ht="246" customHeight="1">
      <c r="A62" s="53">
        <f t="shared" si="5"/>
        <v>59</v>
      </c>
      <c r="B62" s="53" t="s">
        <v>154</v>
      </c>
      <c r="C62" s="54">
        <v>7</v>
      </c>
      <c r="D62" s="54" t="s">
        <v>9</v>
      </c>
      <c r="E62" s="58">
        <v>708</v>
      </c>
      <c r="F62" s="54">
        <v>348</v>
      </c>
      <c r="G62" s="54" t="s">
        <v>20</v>
      </c>
      <c r="H62" s="54">
        <v>0</v>
      </c>
      <c r="I62" s="56">
        <v>360</v>
      </c>
      <c r="J62" s="64"/>
      <c r="K62" s="56">
        <v>104</v>
      </c>
      <c r="L62" s="54" t="s">
        <v>155</v>
      </c>
      <c r="M62" s="58" t="s">
        <v>439</v>
      </c>
      <c r="N62" s="54" t="s">
        <v>13</v>
      </c>
      <c r="O62" s="54" t="s">
        <v>440</v>
      </c>
      <c r="P62" s="53" t="s">
        <v>291</v>
      </c>
      <c r="Q62" s="55" t="s">
        <v>14</v>
      </c>
      <c r="R62" s="53">
        <v>69</v>
      </c>
      <c r="S62" s="53">
        <v>69</v>
      </c>
      <c r="T62" s="56">
        <f t="shared" si="4"/>
        <v>35</v>
      </c>
      <c r="U62" s="57">
        <v>0.97</v>
      </c>
      <c r="V62" s="52">
        <f t="shared" si="1"/>
      </c>
      <c r="W62" s="18">
        <f t="shared" si="0"/>
        <v>0</v>
      </c>
      <c r="X62" s="23"/>
      <c r="Y62" s="23"/>
      <c r="Z62" s="24"/>
      <c r="AB62" s="24"/>
    </row>
    <row r="63" spans="1:28" s="25" customFormat="1" ht="279" customHeight="1">
      <c r="A63" s="53">
        <f t="shared" si="5"/>
        <v>60</v>
      </c>
      <c r="B63" s="53" t="s">
        <v>151</v>
      </c>
      <c r="C63" s="54">
        <v>5</v>
      </c>
      <c r="D63" s="54" t="s">
        <v>9</v>
      </c>
      <c r="E63" s="58">
        <v>552</v>
      </c>
      <c r="F63" s="54"/>
      <c r="G63" s="54"/>
      <c r="H63" s="54">
        <f>361+163</f>
        <v>524</v>
      </c>
      <c r="I63" s="56">
        <v>28</v>
      </c>
      <c r="J63" s="64"/>
      <c r="K63" s="56">
        <v>28</v>
      </c>
      <c r="L63" s="54">
        <v>84.43</v>
      </c>
      <c r="M63" s="58" t="s">
        <v>542</v>
      </c>
      <c r="N63" s="54">
        <v>180</v>
      </c>
      <c r="O63" s="54" t="s">
        <v>543</v>
      </c>
      <c r="P63" s="53" t="s">
        <v>538</v>
      </c>
      <c r="Q63" s="55" t="s">
        <v>14</v>
      </c>
      <c r="R63" s="53">
        <v>0</v>
      </c>
      <c r="S63" s="53">
        <v>0</v>
      </c>
      <c r="T63" s="56">
        <f t="shared" si="4"/>
        <v>28</v>
      </c>
      <c r="U63" s="57">
        <v>0.97</v>
      </c>
      <c r="V63" s="52">
        <f t="shared" si="1"/>
      </c>
      <c r="W63" s="18">
        <f t="shared" si="0"/>
        <v>0</v>
      </c>
      <c r="X63" s="23"/>
      <c r="Y63" s="23"/>
      <c r="Z63" s="24"/>
      <c r="AB63" s="24"/>
    </row>
    <row r="64" spans="1:28" s="25" customFormat="1" ht="192" customHeight="1">
      <c r="A64" s="53">
        <f t="shared" si="5"/>
        <v>61</v>
      </c>
      <c r="B64" s="53" t="s">
        <v>89</v>
      </c>
      <c r="C64" s="54">
        <v>3</v>
      </c>
      <c r="D64" s="54" t="s">
        <v>10</v>
      </c>
      <c r="E64" s="58">
        <v>1104</v>
      </c>
      <c r="F64" s="54" t="s">
        <v>265</v>
      </c>
      <c r="G64" s="54" t="s">
        <v>266</v>
      </c>
      <c r="H64" s="58">
        <v>38</v>
      </c>
      <c r="I64" s="56">
        <v>557</v>
      </c>
      <c r="J64" s="56"/>
      <c r="K64" s="59">
        <f>154+96+144+115</f>
        <v>509</v>
      </c>
      <c r="L64" s="54">
        <v>129.62</v>
      </c>
      <c r="M64" s="58" t="s">
        <v>427</v>
      </c>
      <c r="N64" s="54" t="s">
        <v>13</v>
      </c>
      <c r="O64" s="54" t="s">
        <v>428</v>
      </c>
      <c r="P64" s="53" t="s">
        <v>290</v>
      </c>
      <c r="Q64" s="55" t="s">
        <v>14</v>
      </c>
      <c r="R64" s="53">
        <v>301</v>
      </c>
      <c r="S64" s="53">
        <v>301</v>
      </c>
      <c r="T64" s="56">
        <f aca="true" t="shared" si="6" ref="T64:T76">+K64-S64</f>
        <v>208</v>
      </c>
      <c r="U64" s="57">
        <v>0.98</v>
      </c>
      <c r="V64" s="52">
        <f t="shared" si="1"/>
      </c>
      <c r="W64" s="18">
        <f t="shared" si="0"/>
        <v>0</v>
      </c>
      <c r="X64" s="23"/>
      <c r="Y64" s="23"/>
      <c r="Z64" s="24"/>
      <c r="AB64" s="24"/>
    </row>
    <row r="65" spans="1:28" s="25" customFormat="1" ht="192" customHeight="1">
      <c r="A65" s="66">
        <f>A64+1</f>
        <v>62</v>
      </c>
      <c r="B65" s="66" t="s">
        <v>552</v>
      </c>
      <c r="C65" s="67">
        <v>8</v>
      </c>
      <c r="D65" s="67" t="s">
        <v>10</v>
      </c>
      <c r="E65" s="68">
        <v>160</v>
      </c>
      <c r="F65" s="67"/>
      <c r="G65" s="67"/>
      <c r="H65" s="68">
        <v>142</v>
      </c>
      <c r="I65" s="72">
        <v>18</v>
      </c>
      <c r="J65" s="72">
        <v>18</v>
      </c>
      <c r="K65" s="69"/>
      <c r="L65" s="67" t="s">
        <v>367</v>
      </c>
      <c r="M65" s="68" t="s">
        <v>553</v>
      </c>
      <c r="N65" s="67" t="s">
        <v>489</v>
      </c>
      <c r="O65" s="67" t="s">
        <v>554</v>
      </c>
      <c r="P65" s="66" t="s">
        <v>533</v>
      </c>
      <c r="Q65" s="71" t="s">
        <v>14</v>
      </c>
      <c r="R65" s="66"/>
      <c r="S65" s="66"/>
      <c r="T65" s="72"/>
      <c r="U65" s="73">
        <v>0.98</v>
      </c>
      <c r="V65" s="52"/>
      <c r="W65" s="18">
        <f t="shared" si="0"/>
        <v>0</v>
      </c>
      <c r="X65" s="23"/>
      <c r="Y65" s="23"/>
      <c r="Z65" s="24"/>
      <c r="AB65" s="24"/>
    </row>
    <row r="66" spans="1:28" s="25" customFormat="1" ht="150" customHeight="1">
      <c r="A66" s="53">
        <f>A65+1</f>
        <v>63</v>
      </c>
      <c r="B66" s="53" t="s">
        <v>214</v>
      </c>
      <c r="C66" s="54">
        <v>1</v>
      </c>
      <c r="D66" s="54" t="s">
        <v>10</v>
      </c>
      <c r="E66" s="58">
        <v>192</v>
      </c>
      <c r="F66" s="54" t="s">
        <v>215</v>
      </c>
      <c r="G66" s="54" t="s">
        <v>216</v>
      </c>
      <c r="H66" s="58">
        <v>4</v>
      </c>
      <c r="I66" s="56">
        <v>128</v>
      </c>
      <c r="J66" s="56"/>
      <c r="K66" s="56">
        <v>44</v>
      </c>
      <c r="L66" s="54">
        <v>146.42</v>
      </c>
      <c r="M66" s="58" t="s">
        <v>217</v>
      </c>
      <c r="N66" s="54" t="s">
        <v>13</v>
      </c>
      <c r="O66" s="54" t="s">
        <v>218</v>
      </c>
      <c r="P66" s="53" t="s">
        <v>293</v>
      </c>
      <c r="Q66" s="55" t="s">
        <v>14</v>
      </c>
      <c r="R66" s="53">
        <v>24</v>
      </c>
      <c r="S66" s="53">
        <v>25</v>
      </c>
      <c r="T66" s="56">
        <f t="shared" si="6"/>
        <v>19</v>
      </c>
      <c r="U66" s="57">
        <v>0.8</v>
      </c>
      <c r="V66" s="52" t="str">
        <f t="shared" si="1"/>
        <v>+</v>
      </c>
      <c r="W66" s="18">
        <f t="shared" si="0"/>
        <v>1</v>
      </c>
      <c r="X66" s="23"/>
      <c r="Y66" s="23"/>
      <c r="Z66" s="24"/>
      <c r="AB66" s="24"/>
    </row>
    <row r="67" spans="1:28" s="25" customFormat="1" ht="150" customHeight="1">
      <c r="A67" s="53">
        <f t="shared" si="5"/>
        <v>64</v>
      </c>
      <c r="B67" s="53" t="s">
        <v>163</v>
      </c>
      <c r="C67" s="54">
        <v>5</v>
      </c>
      <c r="D67" s="54" t="s">
        <v>10</v>
      </c>
      <c r="E67" s="58">
        <v>80</v>
      </c>
      <c r="F67" s="54"/>
      <c r="G67" s="54"/>
      <c r="H67" s="58">
        <v>11</v>
      </c>
      <c r="I67" s="56">
        <v>69</v>
      </c>
      <c r="J67" s="64"/>
      <c r="K67" s="56">
        <v>29</v>
      </c>
      <c r="L67" s="54" t="s">
        <v>150</v>
      </c>
      <c r="M67" s="58" t="s">
        <v>164</v>
      </c>
      <c r="N67" s="54">
        <v>180</v>
      </c>
      <c r="O67" s="54" t="s">
        <v>165</v>
      </c>
      <c r="P67" s="53" t="s">
        <v>311</v>
      </c>
      <c r="Q67" s="55" t="s">
        <v>14</v>
      </c>
      <c r="R67" s="53">
        <v>19</v>
      </c>
      <c r="S67" s="53">
        <v>19</v>
      </c>
      <c r="T67" s="56">
        <f t="shared" si="6"/>
        <v>10</v>
      </c>
      <c r="U67" s="57">
        <v>0.8</v>
      </c>
      <c r="V67" s="52">
        <f t="shared" si="1"/>
      </c>
      <c r="W67" s="18">
        <f t="shared" si="0"/>
        <v>0</v>
      </c>
      <c r="X67" s="23"/>
      <c r="Y67" s="23"/>
      <c r="Z67" s="24"/>
      <c r="AB67" s="24"/>
    </row>
    <row r="68" spans="1:28" s="25" customFormat="1" ht="150" customHeight="1">
      <c r="A68" s="53">
        <f t="shared" si="5"/>
        <v>65</v>
      </c>
      <c r="B68" s="53" t="s">
        <v>63</v>
      </c>
      <c r="C68" s="54">
        <v>7</v>
      </c>
      <c r="D68" s="54" t="s">
        <v>9</v>
      </c>
      <c r="E68" s="58">
        <v>300</v>
      </c>
      <c r="F68" s="54" t="s">
        <v>195</v>
      </c>
      <c r="G68" s="54" t="s">
        <v>196</v>
      </c>
      <c r="H68" s="58">
        <f>46-1-1-1-1-1</f>
        <v>41</v>
      </c>
      <c r="I68" s="56">
        <f>224+1+1+1+1+1</f>
        <v>229</v>
      </c>
      <c r="J68" s="56"/>
      <c r="K68" s="59">
        <f>104+1+1+1+1+1</f>
        <v>109</v>
      </c>
      <c r="L68" s="54">
        <v>132.17</v>
      </c>
      <c r="M68" s="58" t="s">
        <v>435</v>
      </c>
      <c r="N68" s="54" t="s">
        <v>13</v>
      </c>
      <c r="O68" s="54" t="s">
        <v>436</v>
      </c>
      <c r="P68" s="53" t="s">
        <v>290</v>
      </c>
      <c r="Q68" s="55" t="s">
        <v>14</v>
      </c>
      <c r="R68" s="53">
        <v>64</v>
      </c>
      <c r="S68" s="53">
        <v>64</v>
      </c>
      <c r="T68" s="56">
        <f t="shared" si="6"/>
        <v>45</v>
      </c>
      <c r="U68" s="57">
        <v>0.98</v>
      </c>
      <c r="V68" s="52">
        <f t="shared" si="1"/>
      </c>
      <c r="W68" s="18">
        <f t="shared" si="0"/>
        <v>0</v>
      </c>
      <c r="X68" s="23"/>
      <c r="Y68" s="23"/>
      <c r="Z68" s="24"/>
      <c r="AB68" s="24"/>
    </row>
    <row r="69" spans="1:28" s="25" customFormat="1" ht="192" customHeight="1">
      <c r="A69" s="53">
        <f aca="true" t="shared" si="7" ref="A69:A75">A68+1</f>
        <v>66</v>
      </c>
      <c r="B69" s="53" t="s">
        <v>510</v>
      </c>
      <c r="C69" s="54">
        <v>9</v>
      </c>
      <c r="D69" s="54" t="s">
        <v>10</v>
      </c>
      <c r="E69" s="58">
        <v>40</v>
      </c>
      <c r="F69" s="54"/>
      <c r="G69" s="54"/>
      <c r="H69" s="58">
        <v>1</v>
      </c>
      <c r="I69" s="56">
        <v>39</v>
      </c>
      <c r="J69" s="56"/>
      <c r="K69" s="56">
        <v>37</v>
      </c>
      <c r="L69" s="54" t="s">
        <v>511</v>
      </c>
      <c r="M69" s="58" t="s">
        <v>512</v>
      </c>
      <c r="N69" s="54">
        <v>120</v>
      </c>
      <c r="O69" s="54" t="s">
        <v>513</v>
      </c>
      <c r="P69" s="53" t="s">
        <v>509</v>
      </c>
      <c r="Q69" s="55" t="s">
        <v>14</v>
      </c>
      <c r="R69" s="53">
        <v>19</v>
      </c>
      <c r="S69" s="53">
        <v>19</v>
      </c>
      <c r="T69" s="56">
        <f t="shared" si="6"/>
        <v>18</v>
      </c>
      <c r="U69" s="57">
        <v>1</v>
      </c>
      <c r="V69" s="52">
        <f t="shared" si="1"/>
      </c>
      <c r="W69" s="18">
        <f t="shared" si="0"/>
        <v>0</v>
      </c>
      <c r="X69" s="23"/>
      <c r="Y69" s="23"/>
      <c r="Z69" s="24"/>
      <c r="AB69" s="24"/>
    </row>
    <row r="70" spans="1:28" s="25" customFormat="1" ht="195" customHeight="1">
      <c r="A70" s="53">
        <f t="shared" si="7"/>
        <v>67</v>
      </c>
      <c r="B70" s="53" t="s">
        <v>505</v>
      </c>
      <c r="C70" s="54">
        <v>9</v>
      </c>
      <c r="D70" s="54" t="s">
        <v>10</v>
      </c>
      <c r="E70" s="58">
        <v>201</v>
      </c>
      <c r="F70" s="54" t="s">
        <v>565</v>
      </c>
      <c r="G70" s="54" t="s">
        <v>566</v>
      </c>
      <c r="H70" s="58">
        <v>39</v>
      </c>
      <c r="I70" s="56">
        <v>156</v>
      </c>
      <c r="J70" s="56"/>
      <c r="K70" s="56">
        <v>156</v>
      </c>
      <c r="L70" s="54" t="s">
        <v>506</v>
      </c>
      <c r="M70" s="58" t="s">
        <v>507</v>
      </c>
      <c r="N70" s="54">
        <v>120</v>
      </c>
      <c r="O70" s="54" t="s">
        <v>508</v>
      </c>
      <c r="P70" s="53" t="s">
        <v>509</v>
      </c>
      <c r="Q70" s="55" t="s">
        <v>14</v>
      </c>
      <c r="R70" s="53">
        <v>124</v>
      </c>
      <c r="S70" s="53">
        <v>125</v>
      </c>
      <c r="T70" s="56">
        <f t="shared" si="6"/>
        <v>31</v>
      </c>
      <c r="U70" s="57">
        <v>0.98</v>
      </c>
      <c r="V70" s="52" t="str">
        <f t="shared" si="1"/>
        <v>+</v>
      </c>
      <c r="W70" s="18">
        <f t="shared" si="0"/>
        <v>1</v>
      </c>
      <c r="X70" s="23"/>
      <c r="Y70" s="23"/>
      <c r="Z70" s="24"/>
      <c r="AB70" s="24"/>
    </row>
    <row r="71" spans="1:28" s="25" customFormat="1" ht="261" customHeight="1">
      <c r="A71" s="53">
        <f t="shared" si="7"/>
        <v>68</v>
      </c>
      <c r="B71" s="53" t="s">
        <v>270</v>
      </c>
      <c r="C71" s="54">
        <v>6</v>
      </c>
      <c r="D71" s="54" t="s">
        <v>10</v>
      </c>
      <c r="E71" s="58">
        <v>7718</v>
      </c>
      <c r="F71" s="53" t="s">
        <v>456</v>
      </c>
      <c r="G71" s="53" t="s">
        <v>455</v>
      </c>
      <c r="H71" s="60">
        <v>4351</v>
      </c>
      <c r="I71" s="61">
        <v>658</v>
      </c>
      <c r="J71" s="56"/>
      <c r="K71" s="56">
        <v>658</v>
      </c>
      <c r="L71" s="54" t="s">
        <v>57</v>
      </c>
      <c r="M71" s="58" t="s">
        <v>463</v>
      </c>
      <c r="N71" s="54" t="s">
        <v>453</v>
      </c>
      <c r="O71" s="54" t="s">
        <v>464</v>
      </c>
      <c r="P71" s="53" t="s">
        <v>457</v>
      </c>
      <c r="Q71" s="55" t="s">
        <v>14</v>
      </c>
      <c r="R71" s="53">
        <v>78</v>
      </c>
      <c r="S71" s="53">
        <v>81</v>
      </c>
      <c r="T71" s="56">
        <f t="shared" si="6"/>
        <v>577</v>
      </c>
      <c r="U71" s="57">
        <v>1</v>
      </c>
      <c r="V71" s="52" t="str">
        <f t="shared" si="1"/>
        <v>+</v>
      </c>
      <c r="W71" s="18">
        <f t="shared" si="0"/>
        <v>3</v>
      </c>
      <c r="X71" s="23"/>
      <c r="Y71" s="23"/>
      <c r="Z71" s="24"/>
      <c r="AB71" s="24"/>
    </row>
    <row r="72" spans="1:28" s="25" customFormat="1" ht="150" customHeight="1">
      <c r="A72" s="78">
        <f t="shared" si="7"/>
        <v>69</v>
      </c>
      <c r="B72" s="78" t="s">
        <v>473</v>
      </c>
      <c r="C72" s="79">
        <v>1</v>
      </c>
      <c r="D72" s="79" t="s">
        <v>9</v>
      </c>
      <c r="E72" s="80">
        <v>1809</v>
      </c>
      <c r="F72" s="78"/>
      <c r="G72" s="78"/>
      <c r="H72" s="81">
        <v>0</v>
      </c>
      <c r="I72" s="82">
        <v>1809</v>
      </c>
      <c r="J72" s="83"/>
      <c r="K72" s="83">
        <v>1809</v>
      </c>
      <c r="L72" s="79">
        <v>118.21</v>
      </c>
      <c r="M72" s="80">
        <v>125000</v>
      </c>
      <c r="N72" s="79">
        <v>120</v>
      </c>
      <c r="O72" s="79" t="s">
        <v>488</v>
      </c>
      <c r="P72" s="78" t="s">
        <v>474</v>
      </c>
      <c r="Q72" s="84" t="s">
        <v>492</v>
      </c>
      <c r="R72" s="81">
        <v>1409</v>
      </c>
      <c r="S72" s="81">
        <v>1472</v>
      </c>
      <c r="T72" s="83">
        <f t="shared" si="6"/>
        <v>337</v>
      </c>
      <c r="U72" s="85" t="s">
        <v>454</v>
      </c>
      <c r="V72" s="52" t="str">
        <f t="shared" si="1"/>
        <v>+</v>
      </c>
      <c r="W72" s="18">
        <f t="shared" si="0"/>
        <v>63</v>
      </c>
      <c r="X72" s="23"/>
      <c r="Y72" s="23"/>
      <c r="Z72" s="24"/>
      <c r="AB72" s="24"/>
    </row>
    <row r="73" spans="1:28" s="25" customFormat="1" ht="204" customHeight="1">
      <c r="A73" s="78">
        <f t="shared" si="7"/>
        <v>70</v>
      </c>
      <c r="B73" s="78" t="s">
        <v>475</v>
      </c>
      <c r="C73" s="79">
        <v>5</v>
      </c>
      <c r="D73" s="79" t="s">
        <v>9</v>
      </c>
      <c r="E73" s="80">
        <v>5275</v>
      </c>
      <c r="F73" s="78"/>
      <c r="G73" s="78"/>
      <c r="H73" s="81">
        <v>0</v>
      </c>
      <c r="I73" s="82">
        <v>5275</v>
      </c>
      <c r="J73" s="83"/>
      <c r="K73" s="83">
        <v>5275</v>
      </c>
      <c r="L73" s="79" t="s">
        <v>476</v>
      </c>
      <c r="M73" s="80" t="s">
        <v>477</v>
      </c>
      <c r="N73" s="79" t="s">
        <v>489</v>
      </c>
      <c r="O73" s="79" t="s">
        <v>478</v>
      </c>
      <c r="P73" s="78" t="s">
        <v>474</v>
      </c>
      <c r="Q73" s="84" t="s">
        <v>490</v>
      </c>
      <c r="R73" s="81">
        <v>3916</v>
      </c>
      <c r="S73" s="81">
        <v>4139</v>
      </c>
      <c r="T73" s="83">
        <f t="shared" si="6"/>
        <v>1136</v>
      </c>
      <c r="U73" s="85">
        <v>0</v>
      </c>
      <c r="V73" s="52" t="str">
        <f t="shared" si="1"/>
        <v>+</v>
      </c>
      <c r="W73" s="18">
        <f t="shared" si="0"/>
        <v>223</v>
      </c>
      <c r="X73" s="23"/>
      <c r="Y73" s="23"/>
      <c r="Z73" s="24"/>
      <c r="AB73" s="24"/>
    </row>
    <row r="74" spans="1:28" s="25" customFormat="1" ht="199.5" customHeight="1">
      <c r="A74" s="78">
        <f t="shared" si="7"/>
        <v>71</v>
      </c>
      <c r="B74" s="78" t="s">
        <v>479</v>
      </c>
      <c r="C74" s="79">
        <v>5</v>
      </c>
      <c r="D74" s="79" t="s">
        <v>9</v>
      </c>
      <c r="E74" s="80">
        <v>504</v>
      </c>
      <c r="F74" s="78"/>
      <c r="G74" s="78"/>
      <c r="H74" s="81">
        <v>0</v>
      </c>
      <c r="I74" s="82">
        <v>504</v>
      </c>
      <c r="J74" s="83"/>
      <c r="K74" s="83">
        <v>504</v>
      </c>
      <c r="L74" s="79">
        <v>47.65</v>
      </c>
      <c r="M74" s="80">
        <v>28000</v>
      </c>
      <c r="N74" s="79">
        <v>280</v>
      </c>
      <c r="O74" s="79">
        <v>100</v>
      </c>
      <c r="P74" s="78" t="s">
        <v>474</v>
      </c>
      <c r="Q74" s="84">
        <v>40120</v>
      </c>
      <c r="R74" s="81">
        <v>2828</v>
      </c>
      <c r="S74" s="81">
        <v>2944</v>
      </c>
      <c r="T74" s="83">
        <v>0</v>
      </c>
      <c r="U74" s="85">
        <v>0</v>
      </c>
      <c r="V74" s="52" t="str">
        <f t="shared" si="1"/>
        <v>+</v>
      </c>
      <c r="W74" s="18">
        <f t="shared" si="0"/>
        <v>116</v>
      </c>
      <c r="X74" s="23"/>
      <c r="Y74" s="23"/>
      <c r="Z74" s="24"/>
      <c r="AB74" s="24"/>
    </row>
    <row r="75" spans="1:28" s="25" customFormat="1" ht="150" customHeight="1">
      <c r="A75" s="53">
        <f t="shared" si="7"/>
        <v>72</v>
      </c>
      <c r="B75" s="53" t="s">
        <v>263</v>
      </c>
      <c r="C75" s="54">
        <v>3</v>
      </c>
      <c r="D75" s="54" t="s">
        <v>9</v>
      </c>
      <c r="E75" s="58">
        <v>694</v>
      </c>
      <c r="F75" s="53"/>
      <c r="G75" s="53"/>
      <c r="H75" s="60">
        <v>489</v>
      </c>
      <c r="I75" s="61">
        <v>205</v>
      </c>
      <c r="J75" s="56"/>
      <c r="K75" s="56">
        <v>205</v>
      </c>
      <c r="L75" s="54">
        <v>111.18</v>
      </c>
      <c r="M75" s="58" t="s">
        <v>425</v>
      </c>
      <c r="N75" s="54" t="s">
        <v>13</v>
      </c>
      <c r="O75" s="54" t="s">
        <v>426</v>
      </c>
      <c r="P75" s="53" t="s">
        <v>313</v>
      </c>
      <c r="Q75" s="55" t="s">
        <v>14</v>
      </c>
      <c r="R75" s="53">
        <v>182</v>
      </c>
      <c r="S75" s="53">
        <v>182</v>
      </c>
      <c r="T75" s="56">
        <f t="shared" si="6"/>
        <v>23</v>
      </c>
      <c r="U75" s="57">
        <v>0.22</v>
      </c>
      <c r="V75" s="52">
        <f t="shared" si="1"/>
      </c>
      <c r="W75" s="18">
        <f t="shared" si="0"/>
        <v>0</v>
      </c>
      <c r="X75" s="23"/>
      <c r="Y75" s="23"/>
      <c r="Z75" s="24"/>
      <c r="AB75" s="24"/>
    </row>
    <row r="76" spans="1:28" s="25" customFormat="1" ht="150" customHeight="1">
      <c r="A76" s="53">
        <f>A75+1</f>
        <v>73</v>
      </c>
      <c r="B76" s="53" t="s">
        <v>59</v>
      </c>
      <c r="C76" s="54">
        <v>7</v>
      </c>
      <c r="D76" s="54" t="s">
        <v>10</v>
      </c>
      <c r="E76" s="58">
        <v>240</v>
      </c>
      <c r="F76" s="54"/>
      <c r="G76" s="54"/>
      <c r="H76" s="58">
        <v>8</v>
      </c>
      <c r="I76" s="56">
        <v>232</v>
      </c>
      <c r="J76" s="56"/>
      <c r="K76" s="56">
        <f>44+52+36</f>
        <v>132</v>
      </c>
      <c r="L76" s="54" t="s">
        <v>60</v>
      </c>
      <c r="M76" s="58" t="s">
        <v>198</v>
      </c>
      <c r="N76" s="54" t="s">
        <v>13</v>
      </c>
      <c r="O76" s="54" t="s">
        <v>199</v>
      </c>
      <c r="P76" s="53" t="s">
        <v>305</v>
      </c>
      <c r="Q76" s="55" t="s">
        <v>14</v>
      </c>
      <c r="R76" s="53">
        <v>68</v>
      </c>
      <c r="S76" s="53">
        <v>68</v>
      </c>
      <c r="T76" s="56">
        <f t="shared" si="6"/>
        <v>64</v>
      </c>
      <c r="U76" s="57">
        <v>0.97</v>
      </c>
      <c r="V76" s="52">
        <f t="shared" si="1"/>
      </c>
      <c r="W76" s="18">
        <f t="shared" si="0"/>
        <v>0</v>
      </c>
      <c r="X76" s="23"/>
      <c r="Y76" s="23"/>
      <c r="Z76" s="24"/>
      <c r="AB76" s="24"/>
    </row>
    <row r="77" spans="1:28" s="25" customFormat="1" ht="150" customHeight="1">
      <c r="A77" s="53">
        <f aca="true" t="shared" si="8" ref="A77:A114">A76+1</f>
        <v>74</v>
      </c>
      <c r="B77" s="53" t="s">
        <v>66</v>
      </c>
      <c r="C77" s="54">
        <v>2</v>
      </c>
      <c r="D77" s="54" t="s">
        <v>10</v>
      </c>
      <c r="E77" s="58">
        <v>440</v>
      </c>
      <c r="F77" s="54" t="s">
        <v>67</v>
      </c>
      <c r="G77" s="54" t="s">
        <v>68</v>
      </c>
      <c r="H77" s="58">
        <f>83-1</f>
        <v>82</v>
      </c>
      <c r="I77" s="56">
        <f>179+1</f>
        <v>180</v>
      </c>
      <c r="J77" s="56"/>
      <c r="K77" s="59">
        <f>179+1</f>
        <v>180</v>
      </c>
      <c r="L77" s="54" t="s">
        <v>69</v>
      </c>
      <c r="M77" s="58" t="s">
        <v>377</v>
      </c>
      <c r="N77" s="54">
        <v>180</v>
      </c>
      <c r="O77" s="54" t="s">
        <v>378</v>
      </c>
      <c r="P77" s="53" t="s">
        <v>296</v>
      </c>
      <c r="Q77" s="55" t="s">
        <v>14</v>
      </c>
      <c r="R77" s="53">
        <v>15</v>
      </c>
      <c r="S77" s="53">
        <v>15</v>
      </c>
      <c r="T77" s="56">
        <f aca="true" t="shared" si="9" ref="T77:T91">+K77-S77</f>
        <v>165</v>
      </c>
      <c r="U77" s="57">
        <v>0.97</v>
      </c>
      <c r="V77" s="52">
        <f t="shared" si="1"/>
      </c>
      <c r="W77" s="18">
        <f t="shared" si="0"/>
        <v>0</v>
      </c>
      <c r="X77" s="23"/>
      <c r="Y77" s="23"/>
      <c r="Z77" s="24"/>
      <c r="AB77" s="24"/>
    </row>
    <row r="78" spans="1:28" s="25" customFormat="1" ht="150" customHeight="1">
      <c r="A78" s="53">
        <f t="shared" si="8"/>
        <v>75</v>
      </c>
      <c r="B78" s="53" t="s">
        <v>176</v>
      </c>
      <c r="C78" s="54">
        <v>4</v>
      </c>
      <c r="D78" s="54" t="s">
        <v>10</v>
      </c>
      <c r="E78" s="58">
        <v>160</v>
      </c>
      <c r="F78" s="54" t="s">
        <v>51</v>
      </c>
      <c r="G78" s="54" t="s">
        <v>41</v>
      </c>
      <c r="H78" s="58">
        <f>64-2</f>
        <v>62</v>
      </c>
      <c r="I78" s="56">
        <f>32+2</f>
        <v>34</v>
      </c>
      <c r="J78" s="56"/>
      <c r="K78" s="59">
        <f>32+2</f>
        <v>34</v>
      </c>
      <c r="L78" s="54" t="s">
        <v>52</v>
      </c>
      <c r="M78" s="58" t="s">
        <v>469</v>
      </c>
      <c r="N78" s="54" t="s">
        <v>13</v>
      </c>
      <c r="O78" s="54" t="s">
        <v>470</v>
      </c>
      <c r="P78" s="53" t="s">
        <v>296</v>
      </c>
      <c r="Q78" s="55" t="s">
        <v>14</v>
      </c>
      <c r="R78" s="53">
        <v>19</v>
      </c>
      <c r="S78" s="53">
        <v>19</v>
      </c>
      <c r="T78" s="56">
        <f t="shared" si="9"/>
        <v>15</v>
      </c>
      <c r="U78" s="57">
        <v>0.98</v>
      </c>
      <c r="V78" s="52">
        <f t="shared" si="1"/>
      </c>
      <c r="W78" s="18">
        <f t="shared" si="0"/>
        <v>0</v>
      </c>
      <c r="X78" s="23"/>
      <c r="Y78" s="23"/>
      <c r="Z78" s="24"/>
      <c r="AB78" s="24"/>
    </row>
    <row r="79" spans="1:28" s="25" customFormat="1" ht="150" customHeight="1">
      <c r="A79" s="53">
        <f t="shared" si="8"/>
        <v>76</v>
      </c>
      <c r="B79" s="53" t="s">
        <v>86</v>
      </c>
      <c r="C79" s="54">
        <v>3</v>
      </c>
      <c r="D79" s="54" t="s">
        <v>9</v>
      </c>
      <c r="E79" s="58">
        <v>504</v>
      </c>
      <c r="F79" s="54">
        <v>124</v>
      </c>
      <c r="G79" s="54" t="s">
        <v>189</v>
      </c>
      <c r="H79" s="58">
        <f>7-7</f>
        <v>0</v>
      </c>
      <c r="I79" s="56">
        <v>380</v>
      </c>
      <c r="J79" s="56"/>
      <c r="K79" s="59">
        <f>45+52+44+7+80</f>
        <v>228</v>
      </c>
      <c r="L79" s="54" t="s">
        <v>88</v>
      </c>
      <c r="M79" s="58" t="s">
        <v>124</v>
      </c>
      <c r="N79" s="54" t="s">
        <v>13</v>
      </c>
      <c r="O79" s="54" t="s">
        <v>125</v>
      </c>
      <c r="P79" s="53" t="s">
        <v>290</v>
      </c>
      <c r="Q79" s="55" t="s">
        <v>14</v>
      </c>
      <c r="R79" s="53">
        <v>190</v>
      </c>
      <c r="S79" s="53">
        <v>192</v>
      </c>
      <c r="T79" s="56">
        <f t="shared" si="9"/>
        <v>36</v>
      </c>
      <c r="U79" s="57">
        <v>0.99</v>
      </c>
      <c r="V79" s="52" t="str">
        <f t="shared" si="1"/>
        <v>+</v>
      </c>
      <c r="W79" s="18">
        <f t="shared" si="0"/>
        <v>2</v>
      </c>
      <c r="X79" s="23"/>
      <c r="Y79" s="23"/>
      <c r="Z79" s="24"/>
      <c r="AB79" s="24"/>
    </row>
    <row r="80" spans="1:28" s="25" customFormat="1" ht="186" customHeight="1">
      <c r="A80" s="53">
        <f t="shared" si="8"/>
        <v>77</v>
      </c>
      <c r="B80" s="53" t="s">
        <v>246</v>
      </c>
      <c r="C80" s="54">
        <v>4</v>
      </c>
      <c r="D80" s="54" t="s">
        <v>9</v>
      </c>
      <c r="E80" s="58">
        <v>200</v>
      </c>
      <c r="F80" s="54">
        <v>80</v>
      </c>
      <c r="G80" s="54" t="s">
        <v>23</v>
      </c>
      <c r="H80" s="58">
        <f>59-1</f>
        <v>58</v>
      </c>
      <c r="I80" s="56">
        <f>61+1</f>
        <v>62</v>
      </c>
      <c r="J80" s="56"/>
      <c r="K80" s="56">
        <f>61+1</f>
        <v>62</v>
      </c>
      <c r="L80" s="54" t="s">
        <v>247</v>
      </c>
      <c r="M80" s="58" t="s">
        <v>471</v>
      </c>
      <c r="N80" s="54" t="s">
        <v>13</v>
      </c>
      <c r="O80" s="54" t="s">
        <v>472</v>
      </c>
      <c r="P80" s="53" t="s">
        <v>314</v>
      </c>
      <c r="Q80" s="55" t="s">
        <v>14</v>
      </c>
      <c r="R80" s="53">
        <v>14</v>
      </c>
      <c r="S80" s="53">
        <v>14</v>
      </c>
      <c r="T80" s="56">
        <f t="shared" si="9"/>
        <v>48</v>
      </c>
      <c r="U80" s="57">
        <v>0.56</v>
      </c>
      <c r="V80" s="52">
        <f t="shared" si="1"/>
      </c>
      <c r="W80" s="18">
        <f t="shared" si="0"/>
        <v>0</v>
      </c>
      <c r="X80" s="23"/>
      <c r="Y80" s="23"/>
      <c r="Z80" s="24"/>
      <c r="AB80" s="24"/>
    </row>
    <row r="81" spans="1:28" s="25" customFormat="1" ht="150" customHeight="1">
      <c r="A81" s="53">
        <f t="shared" si="8"/>
        <v>78</v>
      </c>
      <c r="B81" s="53" t="s">
        <v>346</v>
      </c>
      <c r="C81" s="54">
        <v>3</v>
      </c>
      <c r="D81" s="54" t="s">
        <v>9</v>
      </c>
      <c r="E81" s="58">
        <v>120</v>
      </c>
      <c r="F81" s="54"/>
      <c r="G81" s="54"/>
      <c r="H81" s="58">
        <v>97</v>
      </c>
      <c r="I81" s="56">
        <v>23</v>
      </c>
      <c r="J81" s="56"/>
      <c r="K81" s="56">
        <v>23</v>
      </c>
      <c r="L81" s="54">
        <v>146.42</v>
      </c>
      <c r="M81" s="58" t="s">
        <v>347</v>
      </c>
      <c r="N81" s="54" t="s">
        <v>13</v>
      </c>
      <c r="O81" s="54" t="s">
        <v>348</v>
      </c>
      <c r="P81" s="53" t="s">
        <v>342</v>
      </c>
      <c r="Q81" s="55" t="s">
        <v>14</v>
      </c>
      <c r="R81" s="53">
        <v>11</v>
      </c>
      <c r="S81" s="53">
        <v>11</v>
      </c>
      <c r="T81" s="56">
        <f t="shared" si="9"/>
        <v>12</v>
      </c>
      <c r="U81" s="57">
        <v>0.91</v>
      </c>
      <c r="V81" s="52">
        <f t="shared" si="1"/>
      </c>
      <c r="W81" s="18">
        <f t="shared" si="0"/>
        <v>0</v>
      </c>
      <c r="X81" s="23"/>
      <c r="Y81" s="23"/>
      <c r="Z81" s="24"/>
      <c r="AB81" s="24"/>
    </row>
    <row r="82" spans="1:28" s="25" customFormat="1" ht="150" customHeight="1">
      <c r="A82" s="53">
        <f t="shared" si="8"/>
        <v>79</v>
      </c>
      <c r="B82" s="53" t="s">
        <v>441</v>
      </c>
      <c r="C82" s="54">
        <v>5</v>
      </c>
      <c r="D82" s="54" t="s">
        <v>10</v>
      </c>
      <c r="E82" s="58">
        <v>880</v>
      </c>
      <c r="F82" s="54"/>
      <c r="G82" s="54"/>
      <c r="H82" s="58">
        <v>87</v>
      </c>
      <c r="I82" s="56">
        <v>793</v>
      </c>
      <c r="J82" s="56"/>
      <c r="K82" s="56">
        <v>153</v>
      </c>
      <c r="L82" s="54">
        <v>84.92</v>
      </c>
      <c r="M82" s="58" t="s">
        <v>442</v>
      </c>
      <c r="N82" s="54">
        <v>180</v>
      </c>
      <c r="O82" s="54" t="s">
        <v>443</v>
      </c>
      <c r="P82" s="53" t="s">
        <v>444</v>
      </c>
      <c r="Q82" s="55" t="s">
        <v>14</v>
      </c>
      <c r="R82" s="53">
        <v>24</v>
      </c>
      <c r="S82" s="53">
        <v>24</v>
      </c>
      <c r="T82" s="56">
        <f t="shared" si="9"/>
        <v>129</v>
      </c>
      <c r="U82" s="57">
        <v>0.69</v>
      </c>
      <c r="V82" s="52">
        <f t="shared" si="1"/>
      </c>
      <c r="W82" s="18">
        <f t="shared" si="0"/>
        <v>0</v>
      </c>
      <c r="X82" s="23"/>
      <c r="Y82" s="23"/>
      <c r="Z82" s="24"/>
      <c r="AB82" s="24"/>
    </row>
    <row r="83" spans="1:28" s="25" customFormat="1" ht="150" customHeight="1">
      <c r="A83" s="53">
        <f t="shared" si="8"/>
        <v>80</v>
      </c>
      <c r="B83" s="53" t="s">
        <v>98</v>
      </c>
      <c r="C83" s="54">
        <v>7</v>
      </c>
      <c r="D83" s="54" t="s">
        <v>10</v>
      </c>
      <c r="E83" s="58">
        <v>632</v>
      </c>
      <c r="F83" s="54">
        <v>152</v>
      </c>
      <c r="G83" s="54" t="s">
        <v>240</v>
      </c>
      <c r="H83" s="58">
        <f>28-1-1</f>
        <v>26</v>
      </c>
      <c r="I83" s="56">
        <v>454</v>
      </c>
      <c r="J83" s="56"/>
      <c r="K83" s="59">
        <f>180+1+1</f>
        <v>182</v>
      </c>
      <c r="L83" s="54" t="s">
        <v>99</v>
      </c>
      <c r="M83" s="58" t="s">
        <v>433</v>
      </c>
      <c r="N83" s="54" t="s">
        <v>13</v>
      </c>
      <c r="O83" s="54" t="s">
        <v>434</v>
      </c>
      <c r="P83" s="53" t="s">
        <v>289</v>
      </c>
      <c r="Q83" s="55" t="s">
        <v>14</v>
      </c>
      <c r="R83" s="53">
        <v>92</v>
      </c>
      <c r="S83" s="53">
        <v>92</v>
      </c>
      <c r="T83" s="56">
        <f t="shared" si="9"/>
        <v>90</v>
      </c>
      <c r="U83" s="57" t="s">
        <v>448</v>
      </c>
      <c r="V83" s="52">
        <f t="shared" si="1"/>
      </c>
      <c r="W83" s="18">
        <f t="shared" si="0"/>
        <v>0</v>
      </c>
      <c r="X83" s="23"/>
      <c r="Y83" s="23"/>
      <c r="Z83" s="24"/>
      <c r="AB83" s="24"/>
    </row>
    <row r="84" spans="1:28" s="25" customFormat="1" ht="150" customHeight="1">
      <c r="A84" s="53">
        <f t="shared" si="8"/>
        <v>81</v>
      </c>
      <c r="B84" s="53" t="s">
        <v>207</v>
      </c>
      <c r="C84" s="54">
        <v>7</v>
      </c>
      <c r="D84" s="54" t="s">
        <v>10</v>
      </c>
      <c r="E84" s="58">
        <v>344</v>
      </c>
      <c r="F84" s="54"/>
      <c r="G84" s="54"/>
      <c r="H84" s="58">
        <v>317</v>
      </c>
      <c r="I84" s="56">
        <v>27</v>
      </c>
      <c r="J84" s="56"/>
      <c r="K84" s="59">
        <v>27</v>
      </c>
      <c r="L84" s="54">
        <v>120.18</v>
      </c>
      <c r="M84" s="58" t="s">
        <v>431</v>
      </c>
      <c r="N84" s="54" t="s">
        <v>13</v>
      </c>
      <c r="O84" s="54" t="s">
        <v>432</v>
      </c>
      <c r="P84" s="53" t="s">
        <v>315</v>
      </c>
      <c r="Q84" s="55" t="s">
        <v>14</v>
      </c>
      <c r="R84" s="53">
        <v>26</v>
      </c>
      <c r="S84" s="53">
        <v>26</v>
      </c>
      <c r="T84" s="56">
        <f t="shared" si="9"/>
        <v>1</v>
      </c>
      <c r="U84" s="57">
        <v>0.99</v>
      </c>
      <c r="V84" s="52">
        <f t="shared" si="1"/>
      </c>
      <c r="W84" s="18">
        <f t="shared" si="0"/>
        <v>0</v>
      </c>
      <c r="X84" s="23"/>
      <c r="Y84" s="23"/>
      <c r="Z84" s="24"/>
      <c r="AB84" s="24"/>
    </row>
    <row r="85" spans="1:28" s="25" customFormat="1" ht="150" customHeight="1">
      <c r="A85" s="53">
        <f>A84+1</f>
        <v>82</v>
      </c>
      <c r="B85" s="53" t="s">
        <v>142</v>
      </c>
      <c r="C85" s="54">
        <v>7</v>
      </c>
      <c r="D85" s="54" t="s">
        <v>10</v>
      </c>
      <c r="E85" s="58">
        <v>174</v>
      </c>
      <c r="F85" s="54">
        <v>56</v>
      </c>
      <c r="G85" s="54" t="s">
        <v>25</v>
      </c>
      <c r="H85" s="58">
        <f>22+16-1-1-2-1-14</f>
        <v>19</v>
      </c>
      <c r="I85" s="56">
        <f>+E85-F85-H85</f>
        <v>99</v>
      </c>
      <c r="J85" s="56"/>
      <c r="K85" s="59">
        <f>70+1+1+2+1+10+14</f>
        <v>99</v>
      </c>
      <c r="L85" s="54">
        <v>120.18</v>
      </c>
      <c r="M85" s="58" t="s">
        <v>140</v>
      </c>
      <c r="N85" s="54" t="s">
        <v>13</v>
      </c>
      <c r="O85" s="54" t="s">
        <v>141</v>
      </c>
      <c r="P85" s="53" t="s">
        <v>290</v>
      </c>
      <c r="Q85" s="55" t="s">
        <v>14</v>
      </c>
      <c r="R85" s="53">
        <v>83</v>
      </c>
      <c r="S85" s="53">
        <v>83</v>
      </c>
      <c r="T85" s="56">
        <f t="shared" si="9"/>
        <v>16</v>
      </c>
      <c r="U85" s="57">
        <v>1</v>
      </c>
      <c r="V85" s="52">
        <f t="shared" si="1"/>
      </c>
      <c r="W85" s="18">
        <f t="shared" si="0"/>
        <v>0</v>
      </c>
      <c r="X85" s="23"/>
      <c r="Y85" s="23"/>
      <c r="Z85" s="24"/>
      <c r="AB85" s="24"/>
    </row>
    <row r="86" spans="1:28" s="25" customFormat="1" ht="150" customHeight="1">
      <c r="A86" s="53">
        <f>A85+1</f>
        <v>83</v>
      </c>
      <c r="B86" s="53" t="s">
        <v>58</v>
      </c>
      <c r="C86" s="54">
        <v>7</v>
      </c>
      <c r="D86" s="54" t="s">
        <v>9</v>
      </c>
      <c r="E86" s="58">
        <v>156</v>
      </c>
      <c r="F86" s="54" t="s">
        <v>251</v>
      </c>
      <c r="G86" s="54" t="s">
        <v>252</v>
      </c>
      <c r="H86" s="54">
        <v>11</v>
      </c>
      <c r="I86" s="56">
        <v>117</v>
      </c>
      <c r="J86" s="59"/>
      <c r="K86" s="59">
        <f>57+48</f>
        <v>105</v>
      </c>
      <c r="L86" s="54" t="s">
        <v>48</v>
      </c>
      <c r="M86" s="58" t="s">
        <v>126</v>
      </c>
      <c r="N86" s="54" t="s">
        <v>13</v>
      </c>
      <c r="O86" s="54" t="s">
        <v>127</v>
      </c>
      <c r="P86" s="53" t="s">
        <v>290</v>
      </c>
      <c r="Q86" s="55" t="s">
        <v>14</v>
      </c>
      <c r="R86" s="53">
        <v>80</v>
      </c>
      <c r="S86" s="53">
        <v>80</v>
      </c>
      <c r="T86" s="56">
        <f t="shared" si="9"/>
        <v>25</v>
      </c>
      <c r="U86" s="57">
        <v>0.98</v>
      </c>
      <c r="V86" s="52">
        <f t="shared" si="1"/>
      </c>
      <c r="W86" s="18">
        <f t="shared" si="0"/>
        <v>0</v>
      </c>
      <c r="X86" s="23"/>
      <c r="Y86" s="23"/>
      <c r="Z86" s="24"/>
      <c r="AB86" s="24"/>
    </row>
    <row r="87" spans="1:28" s="25" customFormat="1" ht="150" customHeight="1">
      <c r="A87" s="53">
        <f t="shared" si="8"/>
        <v>84</v>
      </c>
      <c r="B87" s="53" t="s">
        <v>338</v>
      </c>
      <c r="C87" s="54">
        <v>5</v>
      </c>
      <c r="D87" s="54" t="s">
        <v>10</v>
      </c>
      <c r="E87" s="58">
        <v>588</v>
      </c>
      <c r="F87" s="54"/>
      <c r="G87" s="54"/>
      <c r="H87" s="54">
        <v>514</v>
      </c>
      <c r="I87" s="56">
        <v>74</v>
      </c>
      <c r="J87" s="59"/>
      <c r="K87" s="59">
        <v>74</v>
      </c>
      <c r="L87" s="54">
        <v>84.92</v>
      </c>
      <c r="M87" s="58" t="s">
        <v>339</v>
      </c>
      <c r="N87" s="54">
        <v>180</v>
      </c>
      <c r="O87" s="54" t="s">
        <v>340</v>
      </c>
      <c r="P87" s="53" t="s">
        <v>332</v>
      </c>
      <c r="Q87" s="55" t="s">
        <v>14</v>
      </c>
      <c r="R87" s="53">
        <v>68</v>
      </c>
      <c r="S87" s="53">
        <v>68</v>
      </c>
      <c r="T87" s="56">
        <f t="shared" si="9"/>
        <v>6</v>
      </c>
      <c r="U87" s="57">
        <v>0.32</v>
      </c>
      <c r="V87" s="52">
        <f t="shared" si="1"/>
      </c>
      <c r="W87" s="18">
        <f t="shared" si="0"/>
        <v>0</v>
      </c>
      <c r="X87" s="23"/>
      <c r="Y87" s="23"/>
      <c r="Z87" s="24"/>
      <c r="AB87" s="24"/>
    </row>
    <row r="88" spans="1:28" s="25" customFormat="1" ht="165" customHeight="1">
      <c r="A88" s="53">
        <f t="shared" si="8"/>
        <v>85</v>
      </c>
      <c r="B88" s="53" t="s">
        <v>233</v>
      </c>
      <c r="C88" s="54">
        <v>8</v>
      </c>
      <c r="D88" s="54" t="s">
        <v>10</v>
      </c>
      <c r="E88" s="58">
        <v>208</v>
      </c>
      <c r="F88" s="54"/>
      <c r="G88" s="54"/>
      <c r="H88" s="54">
        <f>180-3</f>
        <v>177</v>
      </c>
      <c r="I88" s="56">
        <f>28+3</f>
        <v>31</v>
      </c>
      <c r="J88" s="56"/>
      <c r="K88" s="56">
        <v>31</v>
      </c>
      <c r="L88" s="54" t="s">
        <v>210</v>
      </c>
      <c r="M88" s="58" t="s">
        <v>208</v>
      </c>
      <c r="N88" s="54">
        <v>180</v>
      </c>
      <c r="O88" s="54" t="s">
        <v>209</v>
      </c>
      <c r="P88" s="53" t="s">
        <v>316</v>
      </c>
      <c r="Q88" s="55" t="s">
        <v>14</v>
      </c>
      <c r="R88" s="53">
        <v>6</v>
      </c>
      <c r="S88" s="53">
        <v>6</v>
      </c>
      <c r="T88" s="56">
        <f t="shared" si="9"/>
        <v>25</v>
      </c>
      <c r="U88" s="57">
        <v>0.95</v>
      </c>
      <c r="V88" s="52">
        <f t="shared" si="1"/>
      </c>
      <c r="W88" s="18">
        <f t="shared" si="0"/>
        <v>0</v>
      </c>
      <c r="X88" s="23"/>
      <c r="Y88" s="23"/>
      <c r="Z88" s="24"/>
      <c r="AB88" s="24"/>
    </row>
    <row r="89" spans="1:28" s="25" customFormat="1" ht="150" customHeight="1">
      <c r="A89" s="53">
        <f t="shared" si="8"/>
        <v>86</v>
      </c>
      <c r="B89" s="53" t="s">
        <v>159</v>
      </c>
      <c r="C89" s="54">
        <v>7</v>
      </c>
      <c r="D89" s="54" t="s">
        <v>10</v>
      </c>
      <c r="E89" s="58">
        <v>972</v>
      </c>
      <c r="F89" s="54" t="s">
        <v>194</v>
      </c>
      <c r="G89" s="54" t="s">
        <v>160</v>
      </c>
      <c r="H89" s="54">
        <v>125</v>
      </c>
      <c r="I89" s="56">
        <v>590</v>
      </c>
      <c r="J89" s="64"/>
      <c r="K89" s="59">
        <f>133+1+1+1+3+98</f>
        <v>237</v>
      </c>
      <c r="L89" s="54" t="s">
        <v>161</v>
      </c>
      <c r="M89" s="58" t="s">
        <v>437</v>
      </c>
      <c r="N89" s="54" t="s">
        <v>13</v>
      </c>
      <c r="O89" s="54" t="s">
        <v>438</v>
      </c>
      <c r="P89" s="53" t="s">
        <v>317</v>
      </c>
      <c r="Q89" s="55" t="s">
        <v>14</v>
      </c>
      <c r="R89" s="53">
        <v>106</v>
      </c>
      <c r="S89" s="53">
        <v>106</v>
      </c>
      <c r="T89" s="56">
        <f>+K89-S89</f>
        <v>131</v>
      </c>
      <c r="U89" s="57">
        <v>0.9</v>
      </c>
      <c r="V89" s="52">
        <f t="shared" si="1"/>
      </c>
      <c r="W89" s="18">
        <f t="shared" si="0"/>
        <v>0</v>
      </c>
      <c r="X89" s="23"/>
      <c r="Y89" s="23"/>
      <c r="Z89" s="24"/>
      <c r="AB89" s="24"/>
    </row>
    <row r="90" spans="1:28" s="25" customFormat="1" ht="183" customHeight="1">
      <c r="A90" s="53">
        <f>A89+1</f>
        <v>87</v>
      </c>
      <c r="B90" s="53" t="s">
        <v>518</v>
      </c>
      <c r="C90" s="54">
        <v>5</v>
      </c>
      <c r="D90" s="54" t="s">
        <v>10</v>
      </c>
      <c r="E90" s="58">
        <v>256</v>
      </c>
      <c r="F90" s="54"/>
      <c r="G90" s="54"/>
      <c r="H90" s="54">
        <v>161</v>
      </c>
      <c r="I90" s="56">
        <v>95</v>
      </c>
      <c r="J90" s="56"/>
      <c r="K90" s="56">
        <v>95</v>
      </c>
      <c r="L90" s="65">
        <v>84.4</v>
      </c>
      <c r="M90" s="58" t="s">
        <v>519</v>
      </c>
      <c r="N90" s="54">
        <v>180</v>
      </c>
      <c r="O90" s="54" t="s">
        <v>520</v>
      </c>
      <c r="P90" s="53" t="s">
        <v>514</v>
      </c>
      <c r="Q90" s="55" t="s">
        <v>14</v>
      </c>
      <c r="R90" s="53">
        <v>21</v>
      </c>
      <c r="S90" s="53">
        <v>21</v>
      </c>
      <c r="T90" s="56">
        <f>+K90-S90</f>
        <v>74</v>
      </c>
      <c r="U90" s="57">
        <v>0.2</v>
      </c>
      <c r="V90" s="52">
        <f t="shared" si="1"/>
      </c>
      <c r="W90" s="18">
        <f t="shared" si="0"/>
        <v>0</v>
      </c>
      <c r="X90" s="23"/>
      <c r="Y90" s="23"/>
      <c r="Z90" s="24"/>
      <c r="AB90" s="24"/>
    </row>
    <row r="91" spans="1:28" s="25" customFormat="1" ht="171" customHeight="1">
      <c r="A91" s="53">
        <f>A90+1</f>
        <v>88</v>
      </c>
      <c r="B91" s="53" t="s">
        <v>145</v>
      </c>
      <c r="C91" s="54">
        <v>7</v>
      </c>
      <c r="D91" s="54" t="s">
        <v>9</v>
      </c>
      <c r="E91" s="58">
        <v>252</v>
      </c>
      <c r="F91" s="54" t="s">
        <v>253</v>
      </c>
      <c r="G91" s="54" t="s">
        <v>254</v>
      </c>
      <c r="H91" s="54">
        <v>46</v>
      </c>
      <c r="I91" s="56">
        <v>124</v>
      </c>
      <c r="J91" s="64"/>
      <c r="K91" s="59">
        <v>98</v>
      </c>
      <c r="L91" s="65">
        <v>119.6</v>
      </c>
      <c r="M91" s="58" t="s">
        <v>143</v>
      </c>
      <c r="N91" s="54" t="s">
        <v>13</v>
      </c>
      <c r="O91" s="54" t="s">
        <v>144</v>
      </c>
      <c r="P91" s="53" t="s">
        <v>318</v>
      </c>
      <c r="Q91" s="55" t="s">
        <v>14</v>
      </c>
      <c r="R91" s="53">
        <v>23</v>
      </c>
      <c r="S91" s="53">
        <v>23</v>
      </c>
      <c r="T91" s="56">
        <f t="shared" si="9"/>
        <v>75</v>
      </c>
      <c r="U91" s="57">
        <v>0.97</v>
      </c>
      <c r="V91" s="52">
        <f aca="true" t="shared" si="10" ref="V91:V119">+IF(S91-R91&gt;0,"+","")</f>
      </c>
      <c r="W91" s="18">
        <f t="shared" si="0"/>
        <v>0</v>
      </c>
      <c r="X91" s="23"/>
      <c r="Y91" s="23"/>
      <c r="Z91" s="24"/>
      <c r="AB91" s="24"/>
    </row>
    <row r="92" spans="1:28" s="27" customFormat="1" ht="150" customHeight="1">
      <c r="A92" s="53">
        <f>A91+1</f>
        <v>89</v>
      </c>
      <c r="B92" s="54" t="s">
        <v>24</v>
      </c>
      <c r="C92" s="54">
        <v>6</v>
      </c>
      <c r="D92" s="54" t="s">
        <v>9</v>
      </c>
      <c r="E92" s="54">
        <v>308</v>
      </c>
      <c r="F92" s="54">
        <v>9</v>
      </c>
      <c r="G92" s="54" t="s">
        <v>20</v>
      </c>
      <c r="H92" s="54">
        <v>2</v>
      </c>
      <c r="I92" s="59">
        <v>297</v>
      </c>
      <c r="J92" s="59"/>
      <c r="K92" s="59">
        <v>73</v>
      </c>
      <c r="L92" s="54">
        <v>129.62</v>
      </c>
      <c r="M92" s="58" t="s">
        <v>480</v>
      </c>
      <c r="N92" s="54" t="s">
        <v>13</v>
      </c>
      <c r="O92" s="54" t="s">
        <v>481</v>
      </c>
      <c r="P92" s="53" t="s">
        <v>309</v>
      </c>
      <c r="Q92" s="55" t="s">
        <v>14</v>
      </c>
      <c r="R92" s="53">
        <v>5</v>
      </c>
      <c r="S92" s="53">
        <v>5</v>
      </c>
      <c r="T92" s="56">
        <f aca="true" t="shared" si="11" ref="T92:T105">+K92-S92</f>
        <v>68</v>
      </c>
      <c r="U92" s="57">
        <v>0.91</v>
      </c>
      <c r="V92" s="52">
        <f t="shared" si="10"/>
      </c>
      <c r="W92" s="18">
        <f t="shared" si="0"/>
        <v>0</v>
      </c>
      <c r="X92" s="26"/>
      <c r="Y92" s="26"/>
      <c r="Z92" s="26"/>
      <c r="AB92" s="26"/>
    </row>
    <row r="93" spans="1:28" s="27" customFormat="1" ht="150" customHeight="1">
      <c r="A93" s="53">
        <f t="shared" si="8"/>
        <v>90</v>
      </c>
      <c r="B93" s="53" t="s">
        <v>104</v>
      </c>
      <c r="C93" s="54">
        <v>3</v>
      </c>
      <c r="D93" s="54" t="s">
        <v>9</v>
      </c>
      <c r="E93" s="54">
        <v>192</v>
      </c>
      <c r="F93" s="54" t="s">
        <v>248</v>
      </c>
      <c r="G93" s="54" t="s">
        <v>249</v>
      </c>
      <c r="H93" s="54">
        <v>0</v>
      </c>
      <c r="I93" s="59">
        <v>48</v>
      </c>
      <c r="J93" s="86"/>
      <c r="K93" s="59">
        <v>48</v>
      </c>
      <c r="L93" s="54">
        <v>112.21</v>
      </c>
      <c r="M93" s="58" t="s">
        <v>423</v>
      </c>
      <c r="N93" s="54" t="s">
        <v>13</v>
      </c>
      <c r="O93" s="54" t="s">
        <v>424</v>
      </c>
      <c r="P93" s="53" t="s">
        <v>319</v>
      </c>
      <c r="Q93" s="55" t="s">
        <v>14</v>
      </c>
      <c r="R93" s="53">
        <v>6</v>
      </c>
      <c r="S93" s="53">
        <v>6</v>
      </c>
      <c r="T93" s="56">
        <f t="shared" si="11"/>
        <v>42</v>
      </c>
      <c r="U93" s="57">
        <v>0.73</v>
      </c>
      <c r="V93" s="52">
        <f t="shared" si="10"/>
      </c>
      <c r="W93" s="18">
        <f t="shared" si="0"/>
        <v>0</v>
      </c>
      <c r="X93" s="26"/>
      <c r="Y93" s="26"/>
      <c r="Z93" s="26"/>
      <c r="AB93" s="26"/>
    </row>
    <row r="94" spans="1:28" s="27" customFormat="1" ht="195" customHeight="1">
      <c r="A94" s="53">
        <f t="shared" si="8"/>
        <v>91</v>
      </c>
      <c r="B94" s="53" t="s">
        <v>334</v>
      </c>
      <c r="C94" s="54">
        <v>5</v>
      </c>
      <c r="D94" s="54" t="s">
        <v>9</v>
      </c>
      <c r="E94" s="54">
        <v>532</v>
      </c>
      <c r="F94" s="54">
        <v>5</v>
      </c>
      <c r="G94" s="54" t="s">
        <v>23</v>
      </c>
      <c r="H94" s="54">
        <v>484</v>
      </c>
      <c r="I94" s="59">
        <v>43</v>
      </c>
      <c r="J94" s="59"/>
      <c r="K94" s="59">
        <v>42</v>
      </c>
      <c r="L94" s="54" t="s">
        <v>335</v>
      </c>
      <c r="M94" s="58" t="s">
        <v>336</v>
      </c>
      <c r="N94" s="54">
        <v>180</v>
      </c>
      <c r="O94" s="54" t="s">
        <v>337</v>
      </c>
      <c r="P94" s="53" t="s">
        <v>333</v>
      </c>
      <c r="Q94" s="55" t="s">
        <v>14</v>
      </c>
      <c r="R94" s="53">
        <v>29</v>
      </c>
      <c r="S94" s="53">
        <v>29</v>
      </c>
      <c r="T94" s="56">
        <f t="shared" si="11"/>
        <v>13</v>
      </c>
      <c r="U94" s="57">
        <v>0.73</v>
      </c>
      <c r="V94" s="52">
        <f t="shared" si="10"/>
      </c>
      <c r="W94" s="18">
        <f t="shared" si="0"/>
        <v>0</v>
      </c>
      <c r="X94" s="26"/>
      <c r="Y94" s="26"/>
      <c r="Z94" s="26"/>
      <c r="AB94" s="26"/>
    </row>
    <row r="95" spans="1:28" s="25" customFormat="1" ht="150" customHeight="1">
      <c r="A95" s="53">
        <f t="shared" si="8"/>
        <v>92</v>
      </c>
      <c r="B95" s="53" t="s">
        <v>82</v>
      </c>
      <c r="C95" s="54">
        <v>6</v>
      </c>
      <c r="D95" s="54" t="s">
        <v>9</v>
      </c>
      <c r="E95" s="58">
        <v>384</v>
      </c>
      <c r="F95" s="54" t="s">
        <v>84</v>
      </c>
      <c r="G95" s="54" t="s">
        <v>83</v>
      </c>
      <c r="H95" s="54">
        <f>16+59-4</f>
        <v>71</v>
      </c>
      <c r="I95" s="56">
        <f>+E95-42-48-16-H95</f>
        <v>207</v>
      </c>
      <c r="J95" s="59"/>
      <c r="K95" s="59">
        <f>99+4</f>
        <v>103</v>
      </c>
      <c r="L95" s="54" t="s">
        <v>85</v>
      </c>
      <c r="M95" s="58" t="s">
        <v>486</v>
      </c>
      <c r="N95" s="54" t="s">
        <v>13</v>
      </c>
      <c r="O95" s="54" t="s">
        <v>487</v>
      </c>
      <c r="P95" s="53" t="s">
        <v>309</v>
      </c>
      <c r="Q95" s="55" t="s">
        <v>14</v>
      </c>
      <c r="R95" s="53">
        <v>30</v>
      </c>
      <c r="S95" s="53">
        <v>30</v>
      </c>
      <c r="T95" s="58">
        <f t="shared" si="11"/>
        <v>73</v>
      </c>
      <c r="U95" s="57">
        <v>1</v>
      </c>
      <c r="V95" s="52">
        <f t="shared" si="10"/>
      </c>
      <c r="W95" s="18">
        <f t="shared" si="0"/>
        <v>0</v>
      </c>
      <c r="X95" s="23"/>
      <c r="Y95" s="23"/>
      <c r="Z95" s="24"/>
      <c r="AB95" s="24"/>
    </row>
    <row r="96" spans="1:28" s="25" customFormat="1" ht="150" customHeight="1">
      <c r="A96" s="53">
        <f t="shared" si="8"/>
        <v>93</v>
      </c>
      <c r="B96" s="53" t="s">
        <v>192</v>
      </c>
      <c r="C96" s="54">
        <v>6</v>
      </c>
      <c r="D96" s="54" t="s">
        <v>9</v>
      </c>
      <c r="E96" s="54">
        <v>240</v>
      </c>
      <c r="F96" s="54">
        <v>48</v>
      </c>
      <c r="G96" s="54" t="s">
        <v>189</v>
      </c>
      <c r="H96" s="54">
        <v>0</v>
      </c>
      <c r="I96" s="59">
        <v>192</v>
      </c>
      <c r="J96" s="59"/>
      <c r="K96" s="59">
        <v>48</v>
      </c>
      <c r="L96" s="54">
        <v>146.62</v>
      </c>
      <c r="M96" s="58" t="s">
        <v>190</v>
      </c>
      <c r="N96" s="54" t="s">
        <v>13</v>
      </c>
      <c r="O96" s="54" t="s">
        <v>191</v>
      </c>
      <c r="P96" s="53" t="s">
        <v>320</v>
      </c>
      <c r="Q96" s="55" t="s">
        <v>14</v>
      </c>
      <c r="R96" s="53">
        <v>0</v>
      </c>
      <c r="S96" s="53">
        <v>0</v>
      </c>
      <c r="T96" s="58">
        <f t="shared" si="11"/>
        <v>48</v>
      </c>
      <c r="U96" s="57">
        <v>0.75</v>
      </c>
      <c r="V96" s="52">
        <f t="shared" si="10"/>
      </c>
      <c r="W96" s="18">
        <f t="shared" si="0"/>
        <v>0</v>
      </c>
      <c r="X96" s="23"/>
      <c r="Y96" s="23"/>
      <c r="Z96" s="24"/>
      <c r="AB96" s="24"/>
    </row>
    <row r="97" spans="1:28" s="25" customFormat="1" ht="150" customHeight="1">
      <c r="A97" s="53">
        <f t="shared" si="8"/>
        <v>94</v>
      </c>
      <c r="B97" s="53" t="s">
        <v>271</v>
      </c>
      <c r="C97" s="54">
        <v>3</v>
      </c>
      <c r="D97" s="54" t="s">
        <v>10</v>
      </c>
      <c r="E97" s="58">
        <v>144</v>
      </c>
      <c r="F97" s="54"/>
      <c r="G97" s="54"/>
      <c r="H97" s="54">
        <v>110</v>
      </c>
      <c r="I97" s="56">
        <v>34</v>
      </c>
      <c r="J97" s="64"/>
      <c r="K97" s="59">
        <v>34</v>
      </c>
      <c r="L97" s="54" t="s">
        <v>272</v>
      </c>
      <c r="M97" s="58" t="s">
        <v>421</v>
      </c>
      <c r="N97" s="54">
        <v>108</v>
      </c>
      <c r="O97" s="54" t="s">
        <v>422</v>
      </c>
      <c r="P97" s="53" t="s">
        <v>299</v>
      </c>
      <c r="Q97" s="55" t="s">
        <v>14</v>
      </c>
      <c r="R97" s="53">
        <v>18</v>
      </c>
      <c r="S97" s="53">
        <v>18</v>
      </c>
      <c r="T97" s="58">
        <f t="shared" si="11"/>
        <v>16</v>
      </c>
      <c r="U97" s="57">
        <v>0.98</v>
      </c>
      <c r="V97" s="52">
        <f t="shared" si="10"/>
      </c>
      <c r="W97" s="18">
        <f t="shared" si="0"/>
        <v>0</v>
      </c>
      <c r="X97" s="23"/>
      <c r="Y97" s="23"/>
      <c r="Z97" s="24"/>
      <c r="AB97" s="24"/>
    </row>
    <row r="98" spans="1:28" s="25" customFormat="1" ht="150" customHeight="1">
      <c r="A98" s="53">
        <f t="shared" si="8"/>
        <v>95</v>
      </c>
      <c r="B98" s="53" t="s">
        <v>94</v>
      </c>
      <c r="C98" s="54">
        <v>7</v>
      </c>
      <c r="D98" s="54" t="s">
        <v>9</v>
      </c>
      <c r="E98" s="58">
        <v>640</v>
      </c>
      <c r="F98" s="54">
        <v>320</v>
      </c>
      <c r="G98" s="54" t="s">
        <v>20</v>
      </c>
      <c r="H98" s="54">
        <f>153-3-1-1-4-1-3-1-1-3-1-1</f>
        <v>133</v>
      </c>
      <c r="I98" s="56">
        <f>640-F98-H98</f>
        <v>187</v>
      </c>
      <c r="J98" s="59"/>
      <c r="K98" s="59">
        <f>67+3+1+1+44+1+3+1+1+3+1+1</f>
        <v>127</v>
      </c>
      <c r="L98" s="54">
        <v>136.95</v>
      </c>
      <c r="M98" s="58" t="s">
        <v>128</v>
      </c>
      <c r="N98" s="54" t="s">
        <v>95</v>
      </c>
      <c r="O98" s="54" t="s">
        <v>129</v>
      </c>
      <c r="P98" s="53" t="s">
        <v>321</v>
      </c>
      <c r="Q98" s="55" t="s">
        <v>14</v>
      </c>
      <c r="R98" s="53">
        <v>55</v>
      </c>
      <c r="S98" s="53">
        <v>55</v>
      </c>
      <c r="T98" s="58">
        <f t="shared" si="11"/>
        <v>72</v>
      </c>
      <c r="U98" s="57" t="s">
        <v>449</v>
      </c>
      <c r="V98" s="52">
        <f t="shared" si="10"/>
      </c>
      <c r="W98" s="18">
        <f t="shared" si="0"/>
        <v>0</v>
      </c>
      <c r="X98" s="23"/>
      <c r="Y98" s="23"/>
      <c r="Z98" s="24"/>
      <c r="AB98" s="24"/>
    </row>
    <row r="99" spans="1:28" s="25" customFormat="1" ht="150" customHeight="1">
      <c r="A99" s="53">
        <f t="shared" si="8"/>
        <v>96</v>
      </c>
      <c r="B99" s="53" t="s">
        <v>181</v>
      </c>
      <c r="C99" s="54">
        <v>3</v>
      </c>
      <c r="D99" s="54" t="s">
        <v>10</v>
      </c>
      <c r="E99" s="58">
        <v>312</v>
      </c>
      <c r="F99" s="54"/>
      <c r="G99" s="54"/>
      <c r="H99" s="54">
        <v>4</v>
      </c>
      <c r="I99" s="56">
        <v>308</v>
      </c>
      <c r="J99" s="64"/>
      <c r="K99" s="59">
        <v>68</v>
      </c>
      <c r="L99" s="54">
        <v>146.42</v>
      </c>
      <c r="M99" s="58" t="s">
        <v>182</v>
      </c>
      <c r="N99" s="54" t="s">
        <v>13</v>
      </c>
      <c r="O99" s="54" t="s">
        <v>183</v>
      </c>
      <c r="P99" s="53" t="s">
        <v>305</v>
      </c>
      <c r="Q99" s="55" t="s">
        <v>14</v>
      </c>
      <c r="R99" s="53">
        <v>10</v>
      </c>
      <c r="S99" s="53">
        <v>10</v>
      </c>
      <c r="T99" s="58">
        <f t="shared" si="11"/>
        <v>58</v>
      </c>
      <c r="U99" s="57">
        <v>0.92</v>
      </c>
      <c r="V99" s="52">
        <f t="shared" si="10"/>
      </c>
      <c r="W99" s="18">
        <f t="shared" si="0"/>
        <v>0</v>
      </c>
      <c r="X99" s="23"/>
      <c r="Y99" s="23"/>
      <c r="Z99" s="24"/>
      <c r="AB99" s="24"/>
    </row>
    <row r="100" spans="1:28" s="25" customFormat="1" ht="150" customHeight="1">
      <c r="A100" s="53">
        <f t="shared" si="8"/>
        <v>97</v>
      </c>
      <c r="B100" s="53" t="s">
        <v>234</v>
      </c>
      <c r="C100" s="54">
        <v>5</v>
      </c>
      <c r="D100" s="54" t="s">
        <v>10</v>
      </c>
      <c r="E100" s="58">
        <v>224</v>
      </c>
      <c r="F100" s="54"/>
      <c r="G100" s="54"/>
      <c r="H100" s="54">
        <v>94</v>
      </c>
      <c r="I100" s="56">
        <v>130</v>
      </c>
      <c r="J100" s="56"/>
      <c r="K100" s="56">
        <v>130</v>
      </c>
      <c r="L100" s="54" t="s">
        <v>150</v>
      </c>
      <c r="M100" s="58" t="s">
        <v>235</v>
      </c>
      <c r="N100" s="54">
        <v>180</v>
      </c>
      <c r="O100" s="54" t="s">
        <v>236</v>
      </c>
      <c r="P100" s="53" t="s">
        <v>312</v>
      </c>
      <c r="Q100" s="55" t="s">
        <v>14</v>
      </c>
      <c r="R100" s="53">
        <v>11</v>
      </c>
      <c r="S100" s="53">
        <v>12</v>
      </c>
      <c r="T100" s="58">
        <f t="shared" si="11"/>
        <v>118</v>
      </c>
      <c r="U100" s="57">
        <v>0.92</v>
      </c>
      <c r="V100" s="52" t="str">
        <f t="shared" si="10"/>
        <v>+</v>
      </c>
      <c r="W100" s="18">
        <f t="shared" si="0"/>
        <v>1</v>
      </c>
      <c r="X100" s="23"/>
      <c r="Y100" s="23"/>
      <c r="Z100" s="24"/>
      <c r="AB100" s="24"/>
    </row>
    <row r="101" spans="1:28" s="25" customFormat="1" ht="150" customHeight="1">
      <c r="A101" s="53">
        <f t="shared" si="8"/>
        <v>98</v>
      </c>
      <c r="B101" s="53" t="s">
        <v>211</v>
      </c>
      <c r="C101" s="54">
        <v>1</v>
      </c>
      <c r="D101" s="54" t="s">
        <v>10</v>
      </c>
      <c r="E101" s="58">
        <v>320</v>
      </c>
      <c r="F101" s="54" t="s">
        <v>255</v>
      </c>
      <c r="G101" s="54" t="s">
        <v>249</v>
      </c>
      <c r="H101" s="54">
        <v>35</v>
      </c>
      <c r="I101" s="56">
        <v>195</v>
      </c>
      <c r="J101" s="62"/>
      <c r="K101" s="87">
        <f>95+100</f>
        <v>195</v>
      </c>
      <c r="L101" s="54">
        <v>146.42</v>
      </c>
      <c r="M101" s="58" t="s">
        <v>212</v>
      </c>
      <c r="N101" s="54" t="s">
        <v>13</v>
      </c>
      <c r="O101" s="54" t="s">
        <v>213</v>
      </c>
      <c r="P101" s="53" t="s">
        <v>322</v>
      </c>
      <c r="Q101" s="55" t="s">
        <v>14</v>
      </c>
      <c r="R101" s="53">
        <v>193</v>
      </c>
      <c r="S101" s="53">
        <v>193</v>
      </c>
      <c r="T101" s="58">
        <f t="shared" si="11"/>
        <v>2</v>
      </c>
      <c r="U101" s="57">
        <v>0.97</v>
      </c>
      <c r="V101" s="52">
        <f t="shared" si="10"/>
      </c>
      <c r="W101" s="18">
        <f t="shared" si="0"/>
        <v>0</v>
      </c>
      <c r="X101" s="23"/>
      <c r="Y101" s="23"/>
      <c r="Z101" s="24"/>
      <c r="AB101" s="24"/>
    </row>
    <row r="102" spans="1:28" s="25" customFormat="1" ht="150" customHeight="1">
      <c r="A102" s="53">
        <f>A101+1</f>
        <v>99</v>
      </c>
      <c r="B102" s="53" t="s">
        <v>287</v>
      </c>
      <c r="C102" s="54">
        <v>9</v>
      </c>
      <c r="D102" s="54" t="s">
        <v>206</v>
      </c>
      <c r="E102" s="58">
        <v>328</v>
      </c>
      <c r="F102" s="54"/>
      <c r="G102" s="54"/>
      <c r="H102" s="54">
        <v>0</v>
      </c>
      <c r="I102" s="56">
        <v>328</v>
      </c>
      <c r="J102" s="64"/>
      <c r="K102" s="59">
        <v>328</v>
      </c>
      <c r="L102" s="54"/>
      <c r="M102" s="58" t="s">
        <v>193</v>
      </c>
      <c r="N102" s="54">
        <v>120</v>
      </c>
      <c r="O102" s="54"/>
      <c r="P102" s="53" t="s">
        <v>323</v>
      </c>
      <c r="Q102" s="55" t="s">
        <v>14</v>
      </c>
      <c r="R102" s="53">
        <v>62</v>
      </c>
      <c r="S102" s="53">
        <v>62</v>
      </c>
      <c r="T102" s="58">
        <f t="shared" si="11"/>
        <v>266</v>
      </c>
      <c r="U102" s="57"/>
      <c r="V102" s="52">
        <f t="shared" si="10"/>
      </c>
      <c r="W102" s="18">
        <f t="shared" si="0"/>
        <v>0</v>
      </c>
      <c r="X102" s="23"/>
      <c r="Y102" s="23"/>
      <c r="Z102" s="24"/>
      <c r="AB102" s="24"/>
    </row>
    <row r="103" spans="1:28" s="25" customFormat="1" ht="150" customHeight="1">
      <c r="A103" s="53">
        <f t="shared" si="8"/>
        <v>100</v>
      </c>
      <c r="B103" s="53" t="s">
        <v>35</v>
      </c>
      <c r="C103" s="54">
        <v>7</v>
      </c>
      <c r="D103" s="54" t="s">
        <v>10</v>
      </c>
      <c r="E103" s="58">
        <v>96</v>
      </c>
      <c r="F103" s="54">
        <v>16</v>
      </c>
      <c r="G103" s="54" t="s">
        <v>452</v>
      </c>
      <c r="H103" s="54">
        <v>47</v>
      </c>
      <c r="I103" s="56">
        <v>33</v>
      </c>
      <c r="J103" s="59"/>
      <c r="K103" s="59">
        <v>33</v>
      </c>
      <c r="L103" s="54">
        <v>100.65</v>
      </c>
      <c r="M103" s="58" t="s">
        <v>500</v>
      </c>
      <c r="N103" s="54" t="s">
        <v>501</v>
      </c>
      <c r="O103" s="54" t="s">
        <v>502</v>
      </c>
      <c r="P103" s="53" t="s">
        <v>290</v>
      </c>
      <c r="Q103" s="55" t="s">
        <v>14</v>
      </c>
      <c r="R103" s="53">
        <v>22</v>
      </c>
      <c r="S103" s="53">
        <v>23</v>
      </c>
      <c r="T103" s="58">
        <f t="shared" si="11"/>
        <v>10</v>
      </c>
      <c r="U103" s="57">
        <v>0.99</v>
      </c>
      <c r="V103" s="52" t="str">
        <f t="shared" si="10"/>
        <v>+</v>
      </c>
      <c r="W103" s="18">
        <f t="shared" si="0"/>
        <v>1</v>
      </c>
      <c r="X103" s="23"/>
      <c r="Y103" s="23"/>
      <c r="Z103" s="24"/>
      <c r="AB103" s="24"/>
    </row>
    <row r="104" spans="1:28" s="25" customFormat="1" ht="150" customHeight="1">
      <c r="A104" s="53">
        <f t="shared" si="8"/>
        <v>101</v>
      </c>
      <c r="B104" s="53" t="s">
        <v>185</v>
      </c>
      <c r="C104" s="54">
        <v>2</v>
      </c>
      <c r="D104" s="54" t="s">
        <v>9</v>
      </c>
      <c r="E104" s="58">
        <v>208</v>
      </c>
      <c r="F104" s="54"/>
      <c r="G104" s="54"/>
      <c r="H104" s="54">
        <v>6</v>
      </c>
      <c r="I104" s="56">
        <v>202</v>
      </c>
      <c r="J104" s="59"/>
      <c r="K104" s="59">
        <f>58+24+64</f>
        <v>146</v>
      </c>
      <c r="L104" s="54" t="s">
        <v>186</v>
      </c>
      <c r="M104" s="58" t="s">
        <v>187</v>
      </c>
      <c r="N104" s="54" t="s">
        <v>13</v>
      </c>
      <c r="O104" s="54" t="s">
        <v>188</v>
      </c>
      <c r="P104" s="53" t="s">
        <v>320</v>
      </c>
      <c r="Q104" s="55" t="s">
        <v>14</v>
      </c>
      <c r="R104" s="53">
        <v>127</v>
      </c>
      <c r="S104" s="53">
        <v>127</v>
      </c>
      <c r="T104" s="58">
        <f t="shared" si="11"/>
        <v>19</v>
      </c>
      <c r="U104" s="57">
        <v>1</v>
      </c>
      <c r="V104" s="52">
        <f t="shared" si="10"/>
      </c>
      <c r="W104" s="18">
        <f t="shared" si="0"/>
        <v>0</v>
      </c>
      <c r="X104" s="23"/>
      <c r="Y104" s="23"/>
      <c r="Z104" s="24"/>
      <c r="AB104" s="24"/>
    </row>
    <row r="105" spans="1:28" s="25" customFormat="1" ht="150" customHeight="1">
      <c r="A105" s="53">
        <f t="shared" si="8"/>
        <v>102</v>
      </c>
      <c r="B105" s="54" t="s">
        <v>203</v>
      </c>
      <c r="C105" s="54">
        <v>1</v>
      </c>
      <c r="D105" s="54" t="s">
        <v>10</v>
      </c>
      <c r="E105" s="58">
        <v>238</v>
      </c>
      <c r="F105" s="54"/>
      <c r="G105" s="54"/>
      <c r="H105" s="54">
        <v>63</v>
      </c>
      <c r="I105" s="56">
        <v>175</v>
      </c>
      <c r="J105" s="62"/>
      <c r="K105" s="59">
        <v>119</v>
      </c>
      <c r="L105" s="54">
        <v>138.95</v>
      </c>
      <c r="M105" s="58" t="s">
        <v>204</v>
      </c>
      <c r="N105" s="54" t="s">
        <v>13</v>
      </c>
      <c r="O105" s="54" t="s">
        <v>205</v>
      </c>
      <c r="P105" s="53" t="s">
        <v>324</v>
      </c>
      <c r="Q105" s="55" t="s">
        <v>14</v>
      </c>
      <c r="R105" s="53">
        <v>44</v>
      </c>
      <c r="S105" s="53">
        <v>44</v>
      </c>
      <c r="T105" s="58">
        <f t="shared" si="11"/>
        <v>75</v>
      </c>
      <c r="U105" s="57">
        <v>0.85</v>
      </c>
      <c r="V105" s="52">
        <f t="shared" si="10"/>
      </c>
      <c r="W105" s="18">
        <f t="shared" si="0"/>
        <v>0</v>
      </c>
      <c r="X105" s="23"/>
      <c r="Y105" s="23"/>
      <c r="Z105" s="24"/>
      <c r="AB105" s="24"/>
    </row>
    <row r="106" spans="1:28" s="29" customFormat="1" ht="150" customHeight="1">
      <c r="A106" s="53">
        <f t="shared" si="8"/>
        <v>103</v>
      </c>
      <c r="B106" s="54" t="s">
        <v>45</v>
      </c>
      <c r="C106" s="54">
        <v>2</v>
      </c>
      <c r="D106" s="54" t="s">
        <v>10</v>
      </c>
      <c r="E106" s="54">
        <v>288</v>
      </c>
      <c r="F106" s="54" t="s">
        <v>46</v>
      </c>
      <c r="G106" s="54" t="s">
        <v>47</v>
      </c>
      <c r="H106" s="54">
        <f>144-4-14</f>
        <v>126</v>
      </c>
      <c r="I106" s="59">
        <f>79+4+14</f>
        <v>97</v>
      </c>
      <c r="J106" s="59"/>
      <c r="K106" s="59">
        <f>79+4+14</f>
        <v>97</v>
      </c>
      <c r="L106" s="54" t="s">
        <v>48</v>
      </c>
      <c r="M106" s="54" t="s">
        <v>379</v>
      </c>
      <c r="N106" s="54" t="s">
        <v>49</v>
      </c>
      <c r="O106" s="54" t="s">
        <v>380</v>
      </c>
      <c r="P106" s="53" t="s">
        <v>290</v>
      </c>
      <c r="Q106" s="55" t="s">
        <v>14</v>
      </c>
      <c r="R106" s="53">
        <v>55</v>
      </c>
      <c r="S106" s="53">
        <v>55</v>
      </c>
      <c r="T106" s="58">
        <f>+K106-S106</f>
        <v>42</v>
      </c>
      <c r="U106" s="57">
        <v>0.93</v>
      </c>
      <c r="V106" s="52">
        <f t="shared" si="10"/>
      </c>
      <c r="W106" s="18">
        <f aca="true" t="shared" si="12" ref="W106:W119">+S106-R106</f>
        <v>0</v>
      </c>
      <c r="X106" s="27"/>
      <c r="Y106" s="27"/>
      <c r="Z106" s="28"/>
      <c r="AB106" s="28"/>
    </row>
    <row r="107" spans="1:28" s="29" customFormat="1" ht="150" customHeight="1">
      <c r="A107" s="53">
        <f t="shared" si="8"/>
        <v>104</v>
      </c>
      <c r="B107" s="54" t="s">
        <v>26</v>
      </c>
      <c r="C107" s="54">
        <v>6</v>
      </c>
      <c r="D107" s="54" t="s">
        <v>9</v>
      </c>
      <c r="E107" s="54">
        <v>160</v>
      </c>
      <c r="F107" s="54" t="s">
        <v>458</v>
      </c>
      <c r="G107" s="54" t="s">
        <v>267</v>
      </c>
      <c r="H107" s="54">
        <f>2+18</f>
        <v>20</v>
      </c>
      <c r="I107" s="59">
        <f>160-33-20</f>
        <v>107</v>
      </c>
      <c r="J107" s="59"/>
      <c r="K107" s="59">
        <v>107</v>
      </c>
      <c r="L107" s="54">
        <v>146.42</v>
      </c>
      <c r="M107" s="54" t="s">
        <v>459</v>
      </c>
      <c r="N107" s="54" t="s">
        <v>13</v>
      </c>
      <c r="O107" s="54" t="s">
        <v>460</v>
      </c>
      <c r="P107" s="53" t="s">
        <v>307</v>
      </c>
      <c r="Q107" s="55" t="s">
        <v>14</v>
      </c>
      <c r="R107" s="53">
        <v>64</v>
      </c>
      <c r="S107" s="53">
        <v>65</v>
      </c>
      <c r="T107" s="58">
        <f>+K107-S107</f>
        <v>42</v>
      </c>
      <c r="U107" s="57">
        <v>1</v>
      </c>
      <c r="V107" s="52" t="str">
        <f t="shared" si="10"/>
        <v>+</v>
      </c>
      <c r="W107" s="18">
        <f t="shared" si="12"/>
        <v>1</v>
      </c>
      <c r="X107" s="27"/>
      <c r="Y107" s="27"/>
      <c r="Z107" s="28"/>
      <c r="AB107" s="28"/>
    </row>
    <row r="108" spans="1:28" s="29" customFormat="1" ht="150" customHeight="1">
      <c r="A108" s="53">
        <f t="shared" si="8"/>
        <v>105</v>
      </c>
      <c r="B108" s="53" t="s">
        <v>226</v>
      </c>
      <c r="C108" s="54">
        <v>6</v>
      </c>
      <c r="D108" s="54" t="s">
        <v>10</v>
      </c>
      <c r="E108" s="54">
        <v>672</v>
      </c>
      <c r="F108" s="54" t="s">
        <v>227</v>
      </c>
      <c r="G108" s="54" t="s">
        <v>250</v>
      </c>
      <c r="H108" s="54">
        <v>53</v>
      </c>
      <c r="I108" s="59">
        <v>535</v>
      </c>
      <c r="J108" s="59"/>
      <c r="K108" s="59">
        <v>142</v>
      </c>
      <c r="L108" s="54">
        <v>150.12</v>
      </c>
      <c r="M108" s="54" t="s">
        <v>228</v>
      </c>
      <c r="N108" s="54">
        <v>144</v>
      </c>
      <c r="O108" s="54" t="s">
        <v>229</v>
      </c>
      <c r="P108" s="53" t="s">
        <v>295</v>
      </c>
      <c r="Q108" s="55" t="s">
        <v>14</v>
      </c>
      <c r="R108" s="53">
        <v>38</v>
      </c>
      <c r="S108" s="53">
        <v>40</v>
      </c>
      <c r="T108" s="58">
        <f>+K108-S108</f>
        <v>102</v>
      </c>
      <c r="U108" s="57">
        <v>0.9</v>
      </c>
      <c r="V108" s="52" t="str">
        <f t="shared" si="10"/>
        <v>+</v>
      </c>
      <c r="W108" s="18">
        <f t="shared" si="12"/>
        <v>2</v>
      </c>
      <c r="X108" s="27"/>
      <c r="Y108" s="27"/>
      <c r="Z108" s="28"/>
      <c r="AB108" s="28"/>
    </row>
    <row r="109" spans="1:28" s="29" customFormat="1" ht="150" customHeight="1">
      <c r="A109" s="88">
        <f t="shared" si="8"/>
        <v>106</v>
      </c>
      <c r="B109" s="88" t="s">
        <v>200</v>
      </c>
      <c r="C109" s="89">
        <v>1</v>
      </c>
      <c r="D109" s="89" t="s">
        <v>9</v>
      </c>
      <c r="E109" s="89">
        <v>163</v>
      </c>
      <c r="F109" s="89"/>
      <c r="G109" s="89"/>
      <c r="H109" s="89">
        <v>0</v>
      </c>
      <c r="I109" s="90">
        <v>163</v>
      </c>
      <c r="J109" s="90"/>
      <c r="K109" s="90">
        <v>163</v>
      </c>
      <c r="L109" s="89">
        <v>63.12</v>
      </c>
      <c r="M109" s="89" t="s">
        <v>201</v>
      </c>
      <c r="N109" s="89">
        <v>180</v>
      </c>
      <c r="O109" s="89" t="s">
        <v>202</v>
      </c>
      <c r="P109" s="88" t="s">
        <v>305</v>
      </c>
      <c r="Q109" s="91" t="s">
        <v>14</v>
      </c>
      <c r="R109" s="92">
        <v>0</v>
      </c>
      <c r="S109" s="92">
        <v>0</v>
      </c>
      <c r="T109" s="93">
        <f>+K109-S109</f>
        <v>163</v>
      </c>
      <c r="U109" s="94">
        <v>0.93</v>
      </c>
      <c r="V109" s="52">
        <f t="shared" si="10"/>
      </c>
      <c r="W109" s="18">
        <f t="shared" si="12"/>
        <v>0</v>
      </c>
      <c r="X109" s="27"/>
      <c r="Y109" s="27"/>
      <c r="Z109" s="28"/>
      <c r="AB109" s="28"/>
    </row>
    <row r="110" spans="1:28" s="29" customFormat="1" ht="150" customHeight="1">
      <c r="A110" s="66">
        <f>A109+1</f>
        <v>107</v>
      </c>
      <c r="B110" s="66" t="s">
        <v>561</v>
      </c>
      <c r="C110" s="67">
        <v>2</v>
      </c>
      <c r="D110" s="67" t="s">
        <v>9</v>
      </c>
      <c r="E110" s="67">
        <v>80</v>
      </c>
      <c r="F110" s="67"/>
      <c r="G110" s="67"/>
      <c r="H110" s="67">
        <v>73</v>
      </c>
      <c r="I110" s="69">
        <v>7</v>
      </c>
      <c r="J110" s="69">
        <v>7</v>
      </c>
      <c r="K110" s="69"/>
      <c r="L110" s="67">
        <v>106.63</v>
      </c>
      <c r="M110" s="67" t="s">
        <v>562</v>
      </c>
      <c r="N110" s="67" t="s">
        <v>13</v>
      </c>
      <c r="O110" s="67" t="s">
        <v>563</v>
      </c>
      <c r="P110" s="66" t="s">
        <v>560</v>
      </c>
      <c r="Q110" s="71" t="s">
        <v>14</v>
      </c>
      <c r="R110" s="72"/>
      <c r="S110" s="72"/>
      <c r="T110" s="68"/>
      <c r="U110" s="73"/>
      <c r="V110" s="52">
        <f t="shared" si="10"/>
      </c>
      <c r="W110" s="18">
        <f t="shared" si="12"/>
        <v>0</v>
      </c>
      <c r="X110" s="27"/>
      <c r="Y110" s="27"/>
      <c r="Z110" s="28"/>
      <c r="AB110" s="28"/>
    </row>
    <row r="111" spans="1:28" s="25" customFormat="1" ht="150" customHeight="1">
      <c r="A111" s="53">
        <f>A110+1</f>
        <v>108</v>
      </c>
      <c r="B111" s="53" t="s">
        <v>43</v>
      </c>
      <c r="C111" s="54">
        <v>2</v>
      </c>
      <c r="D111" s="54" t="s">
        <v>10</v>
      </c>
      <c r="E111" s="58">
        <v>176</v>
      </c>
      <c r="F111" s="54" t="s">
        <v>44</v>
      </c>
      <c r="G111" s="54" t="s">
        <v>41</v>
      </c>
      <c r="H111" s="54">
        <f>57-22</f>
        <v>35</v>
      </c>
      <c r="I111" s="56">
        <f>75+22</f>
        <v>97</v>
      </c>
      <c r="J111" s="59"/>
      <c r="K111" s="59">
        <f>73+2+22</f>
        <v>97</v>
      </c>
      <c r="L111" s="54">
        <v>120.18</v>
      </c>
      <c r="M111" s="58" t="s">
        <v>383</v>
      </c>
      <c r="N111" s="54">
        <v>180</v>
      </c>
      <c r="O111" s="54" t="s">
        <v>384</v>
      </c>
      <c r="P111" s="53" t="s">
        <v>296</v>
      </c>
      <c r="Q111" s="55" t="s">
        <v>14</v>
      </c>
      <c r="R111" s="53">
        <v>42</v>
      </c>
      <c r="S111" s="53">
        <v>42</v>
      </c>
      <c r="T111" s="58">
        <f aca="true" t="shared" si="13" ref="T111:T118">+K111-S111</f>
        <v>55</v>
      </c>
      <c r="U111" s="57">
        <v>0.95</v>
      </c>
      <c r="V111" s="52">
        <f t="shared" si="10"/>
      </c>
      <c r="W111" s="18">
        <f t="shared" si="12"/>
        <v>0</v>
      </c>
      <c r="X111" s="23"/>
      <c r="Y111" s="23"/>
      <c r="Z111" s="24"/>
      <c r="AB111" s="24"/>
    </row>
    <row r="112" spans="1:28" s="25" customFormat="1" ht="150" customHeight="1">
      <c r="A112" s="53">
        <f t="shared" si="8"/>
        <v>109</v>
      </c>
      <c r="B112" s="53" t="s">
        <v>257</v>
      </c>
      <c r="C112" s="54">
        <v>5</v>
      </c>
      <c r="D112" s="54" t="s">
        <v>10</v>
      </c>
      <c r="E112" s="58">
        <v>112</v>
      </c>
      <c r="F112" s="54"/>
      <c r="G112" s="54"/>
      <c r="H112" s="54">
        <f>94+8</f>
        <v>102</v>
      </c>
      <c r="I112" s="56">
        <f>18-8</f>
        <v>10</v>
      </c>
      <c r="J112" s="59"/>
      <c r="K112" s="59">
        <f>18-8</f>
        <v>10</v>
      </c>
      <c r="L112" s="54" t="s">
        <v>258</v>
      </c>
      <c r="M112" s="58">
        <v>51885</v>
      </c>
      <c r="N112" s="54">
        <v>180</v>
      </c>
      <c r="O112" s="54">
        <v>254</v>
      </c>
      <c r="P112" s="53" t="s">
        <v>538</v>
      </c>
      <c r="Q112" s="55" t="s">
        <v>14</v>
      </c>
      <c r="R112" s="53">
        <v>0</v>
      </c>
      <c r="S112" s="53">
        <v>0</v>
      </c>
      <c r="T112" s="58">
        <f t="shared" si="13"/>
        <v>10</v>
      </c>
      <c r="U112" s="57">
        <v>0.59</v>
      </c>
      <c r="V112" s="52">
        <f t="shared" si="10"/>
      </c>
      <c r="W112" s="18">
        <f t="shared" si="12"/>
        <v>0</v>
      </c>
      <c r="X112" s="23"/>
      <c r="Y112" s="23"/>
      <c r="Z112" s="24"/>
      <c r="AB112" s="24"/>
    </row>
    <row r="113" spans="1:28" s="25" customFormat="1" ht="150" customHeight="1">
      <c r="A113" s="53">
        <f t="shared" si="8"/>
        <v>110</v>
      </c>
      <c r="B113" s="53" t="s">
        <v>175</v>
      </c>
      <c r="C113" s="54">
        <v>2</v>
      </c>
      <c r="D113" s="54" t="s">
        <v>10</v>
      </c>
      <c r="E113" s="58">
        <v>300</v>
      </c>
      <c r="F113" s="54"/>
      <c r="G113" s="54"/>
      <c r="H113" s="54">
        <v>290</v>
      </c>
      <c r="I113" s="56">
        <v>10</v>
      </c>
      <c r="J113" s="64"/>
      <c r="K113" s="59">
        <v>10</v>
      </c>
      <c r="L113" s="54">
        <v>134.74</v>
      </c>
      <c r="M113" s="58" t="s">
        <v>381</v>
      </c>
      <c r="N113" s="54" t="s">
        <v>13</v>
      </c>
      <c r="O113" s="54" t="s">
        <v>382</v>
      </c>
      <c r="P113" s="53" t="s">
        <v>325</v>
      </c>
      <c r="Q113" s="55" t="s">
        <v>14</v>
      </c>
      <c r="R113" s="53">
        <v>3</v>
      </c>
      <c r="S113" s="53">
        <v>3</v>
      </c>
      <c r="T113" s="58">
        <f t="shared" si="13"/>
        <v>7</v>
      </c>
      <c r="U113" s="57">
        <v>0.99</v>
      </c>
      <c r="V113" s="52">
        <f t="shared" si="10"/>
      </c>
      <c r="W113" s="18">
        <f t="shared" si="12"/>
        <v>0</v>
      </c>
      <c r="X113" s="23"/>
      <c r="Y113" s="23"/>
      <c r="Z113" s="24"/>
      <c r="AB113" s="24"/>
    </row>
    <row r="114" spans="1:28" s="25" customFormat="1" ht="150" customHeight="1">
      <c r="A114" s="53">
        <f t="shared" si="8"/>
        <v>111</v>
      </c>
      <c r="B114" s="53" t="s">
        <v>260</v>
      </c>
      <c r="C114" s="54">
        <v>3</v>
      </c>
      <c r="D114" s="54" t="s">
        <v>9</v>
      </c>
      <c r="E114" s="58">
        <v>340</v>
      </c>
      <c r="F114" s="54" t="s">
        <v>261</v>
      </c>
      <c r="G114" s="54" t="s">
        <v>262</v>
      </c>
      <c r="H114" s="54">
        <f>68-5</f>
        <v>63</v>
      </c>
      <c r="I114" s="56">
        <f>248-50+5</f>
        <v>203</v>
      </c>
      <c r="J114" s="59"/>
      <c r="K114" s="59">
        <f>198+5</f>
        <v>203</v>
      </c>
      <c r="L114" s="54">
        <v>112.21</v>
      </c>
      <c r="M114" s="58" t="s">
        <v>419</v>
      </c>
      <c r="N114" s="54" t="s">
        <v>13</v>
      </c>
      <c r="O114" s="54" t="s">
        <v>420</v>
      </c>
      <c r="P114" s="53" t="s">
        <v>290</v>
      </c>
      <c r="Q114" s="55" t="s">
        <v>14</v>
      </c>
      <c r="R114" s="53">
        <v>123</v>
      </c>
      <c r="S114" s="53">
        <v>123</v>
      </c>
      <c r="T114" s="58">
        <f t="shared" si="13"/>
        <v>80</v>
      </c>
      <c r="U114" s="57">
        <v>0.96</v>
      </c>
      <c r="V114" s="52">
        <f t="shared" si="10"/>
      </c>
      <c r="W114" s="18">
        <f t="shared" si="12"/>
        <v>0</v>
      </c>
      <c r="X114" s="23"/>
      <c r="Y114" s="23"/>
      <c r="Z114" s="24"/>
      <c r="AB114" s="24"/>
    </row>
    <row r="115" spans="1:28" s="25" customFormat="1" ht="150" customHeight="1">
      <c r="A115" s="78">
        <f>A114+1</f>
        <v>112</v>
      </c>
      <c r="B115" s="78" t="s">
        <v>493</v>
      </c>
      <c r="C115" s="79">
        <v>3</v>
      </c>
      <c r="D115" s="79" t="s">
        <v>10</v>
      </c>
      <c r="E115" s="80">
        <v>184</v>
      </c>
      <c r="F115" s="79"/>
      <c r="G115" s="79"/>
      <c r="H115" s="79">
        <v>0</v>
      </c>
      <c r="I115" s="83">
        <v>184</v>
      </c>
      <c r="J115" s="95"/>
      <c r="K115" s="95">
        <v>184</v>
      </c>
      <c r="L115" s="79">
        <v>121.03</v>
      </c>
      <c r="M115" s="80" t="s">
        <v>494</v>
      </c>
      <c r="N115" s="79" t="s">
        <v>13</v>
      </c>
      <c r="O115" s="79" t="s">
        <v>495</v>
      </c>
      <c r="P115" s="78" t="s">
        <v>496</v>
      </c>
      <c r="Q115" s="84">
        <v>40073</v>
      </c>
      <c r="R115" s="78">
        <v>211</v>
      </c>
      <c r="S115" s="78">
        <v>211</v>
      </c>
      <c r="T115" s="80">
        <v>0</v>
      </c>
      <c r="U115" s="85">
        <v>0.11</v>
      </c>
      <c r="V115" s="52">
        <f t="shared" si="10"/>
      </c>
      <c r="W115" s="18">
        <f t="shared" si="12"/>
        <v>0</v>
      </c>
      <c r="X115" s="23"/>
      <c r="Y115" s="23"/>
      <c r="Z115" s="24"/>
      <c r="AB115" s="24"/>
    </row>
    <row r="116" spans="1:28" s="25" customFormat="1" ht="150" customHeight="1">
      <c r="A116" s="53">
        <f>A115+1</f>
        <v>113</v>
      </c>
      <c r="B116" s="53" t="s">
        <v>90</v>
      </c>
      <c r="C116" s="54">
        <v>6</v>
      </c>
      <c r="D116" s="54" t="s">
        <v>10</v>
      </c>
      <c r="E116" s="58">
        <v>128</v>
      </c>
      <c r="F116" s="54"/>
      <c r="G116" s="54"/>
      <c r="H116" s="54">
        <v>1</v>
      </c>
      <c r="I116" s="56">
        <f>128-1</f>
        <v>127</v>
      </c>
      <c r="J116" s="64"/>
      <c r="K116" s="56">
        <f>23+40+16+16+32</f>
        <v>127</v>
      </c>
      <c r="L116" s="54">
        <v>127.32</v>
      </c>
      <c r="M116" s="58" t="s">
        <v>107</v>
      </c>
      <c r="N116" s="54">
        <v>144</v>
      </c>
      <c r="O116" s="54" t="s">
        <v>108</v>
      </c>
      <c r="P116" s="53" t="s">
        <v>326</v>
      </c>
      <c r="Q116" s="55" t="s">
        <v>14</v>
      </c>
      <c r="R116" s="53">
        <v>123</v>
      </c>
      <c r="S116" s="53">
        <v>123</v>
      </c>
      <c r="T116" s="58">
        <f t="shared" si="13"/>
        <v>4</v>
      </c>
      <c r="U116" s="57">
        <v>1</v>
      </c>
      <c r="V116" s="52">
        <f t="shared" si="10"/>
      </c>
      <c r="W116" s="18">
        <f t="shared" si="12"/>
        <v>0</v>
      </c>
      <c r="X116" s="23"/>
      <c r="Y116" s="23"/>
      <c r="Z116" s="24"/>
      <c r="AB116" s="24"/>
    </row>
    <row r="117" spans="1:28" s="25" customFormat="1" ht="150" customHeight="1">
      <c r="A117" s="53">
        <f>A116+1</f>
        <v>114</v>
      </c>
      <c r="B117" s="53" t="s">
        <v>97</v>
      </c>
      <c r="C117" s="54">
        <v>6</v>
      </c>
      <c r="D117" s="54" t="s">
        <v>10</v>
      </c>
      <c r="E117" s="58">
        <v>712</v>
      </c>
      <c r="F117" s="54">
        <v>186</v>
      </c>
      <c r="G117" s="54" t="s">
        <v>20</v>
      </c>
      <c r="H117" s="54">
        <f>284-1-9-1</f>
        <v>273</v>
      </c>
      <c r="I117" s="56">
        <f>242+1+9+1</f>
        <v>253</v>
      </c>
      <c r="J117" s="59"/>
      <c r="K117" s="59">
        <f>158+1+93+1</f>
        <v>253</v>
      </c>
      <c r="L117" s="54" t="s">
        <v>91</v>
      </c>
      <c r="M117" s="58" t="s">
        <v>118</v>
      </c>
      <c r="N117" s="54" t="s">
        <v>13</v>
      </c>
      <c r="O117" s="54" t="s">
        <v>119</v>
      </c>
      <c r="P117" s="53" t="s">
        <v>309</v>
      </c>
      <c r="Q117" s="55" t="s">
        <v>14</v>
      </c>
      <c r="R117" s="53">
        <v>246</v>
      </c>
      <c r="S117" s="53">
        <v>246</v>
      </c>
      <c r="T117" s="58">
        <f t="shared" si="13"/>
        <v>7</v>
      </c>
      <c r="U117" s="57">
        <v>1</v>
      </c>
      <c r="V117" s="52">
        <f t="shared" si="10"/>
      </c>
      <c r="W117" s="18">
        <f t="shared" si="12"/>
        <v>0</v>
      </c>
      <c r="X117" s="23"/>
      <c r="Y117" s="23"/>
      <c r="Z117" s="24"/>
      <c r="AB117" s="24"/>
    </row>
    <row r="118" spans="1:28" s="25" customFormat="1" ht="150" customHeight="1">
      <c r="A118" s="53">
        <f>A117+1</f>
        <v>115</v>
      </c>
      <c r="B118" s="53" t="s">
        <v>499</v>
      </c>
      <c r="C118" s="53">
        <v>2</v>
      </c>
      <c r="D118" s="53" t="s">
        <v>9</v>
      </c>
      <c r="E118" s="60">
        <v>492</v>
      </c>
      <c r="F118" s="53">
        <v>55</v>
      </c>
      <c r="G118" s="53" t="s">
        <v>23</v>
      </c>
      <c r="H118" s="53">
        <v>15</v>
      </c>
      <c r="I118" s="61">
        <v>422</v>
      </c>
      <c r="J118" s="61"/>
      <c r="K118" s="61">
        <v>102</v>
      </c>
      <c r="L118" s="53">
        <v>111.18</v>
      </c>
      <c r="M118" s="60" t="s">
        <v>497</v>
      </c>
      <c r="N118" s="53" t="s">
        <v>13</v>
      </c>
      <c r="O118" s="53" t="s">
        <v>498</v>
      </c>
      <c r="P118" s="53" t="s">
        <v>474</v>
      </c>
      <c r="Q118" s="77" t="s">
        <v>14</v>
      </c>
      <c r="R118" s="53">
        <v>8</v>
      </c>
      <c r="S118" s="53">
        <v>8</v>
      </c>
      <c r="T118" s="58">
        <f t="shared" si="13"/>
        <v>94</v>
      </c>
      <c r="U118" s="96">
        <v>0.11</v>
      </c>
      <c r="V118" s="52">
        <f>+IF(S118-R118&gt;0,"+","")</f>
      </c>
      <c r="W118" s="18">
        <f>+S118-R118</f>
        <v>0</v>
      </c>
      <c r="X118" s="23"/>
      <c r="Y118" s="23"/>
      <c r="Z118" s="24"/>
      <c r="AB118" s="24"/>
    </row>
    <row r="119" spans="1:28" s="25" customFormat="1" ht="150" customHeight="1">
      <c r="A119" s="53">
        <f>A118+1</f>
        <v>116</v>
      </c>
      <c r="B119" s="53" t="s">
        <v>197</v>
      </c>
      <c r="C119" s="54">
        <v>2</v>
      </c>
      <c r="D119" s="54" t="s">
        <v>10</v>
      </c>
      <c r="E119" s="58">
        <v>258</v>
      </c>
      <c r="F119" s="54"/>
      <c r="G119" s="54"/>
      <c r="H119" s="54">
        <f>203-4-1-1-2-6-3-13-3</f>
        <v>170</v>
      </c>
      <c r="I119" s="56">
        <f>55+4+1+1+2+6+3+13+3</f>
        <v>88</v>
      </c>
      <c r="J119" s="59"/>
      <c r="K119" s="59">
        <v>88</v>
      </c>
      <c r="L119" s="54">
        <v>132.17</v>
      </c>
      <c r="M119" s="58" t="s">
        <v>387</v>
      </c>
      <c r="N119" s="54" t="s">
        <v>13</v>
      </c>
      <c r="O119" s="54" t="s">
        <v>388</v>
      </c>
      <c r="P119" s="53" t="s">
        <v>327</v>
      </c>
      <c r="Q119" s="55" t="s">
        <v>14</v>
      </c>
      <c r="R119" s="53">
        <v>82</v>
      </c>
      <c r="S119" s="53">
        <v>82</v>
      </c>
      <c r="T119" s="58">
        <f>+K119-S119</f>
        <v>6</v>
      </c>
      <c r="U119" s="57">
        <v>1</v>
      </c>
      <c r="V119" s="52">
        <f t="shared" si="10"/>
      </c>
      <c r="W119" s="18">
        <f t="shared" si="12"/>
        <v>0</v>
      </c>
      <c r="X119" s="23"/>
      <c r="Y119" s="23"/>
      <c r="Z119" s="24"/>
      <c r="AB119" s="24"/>
    </row>
    <row r="120" spans="1:28" s="31" customFormat="1" ht="129.75" customHeight="1">
      <c r="A120" s="129">
        <f>+E120</f>
        <v>68147</v>
      </c>
      <c r="B120" s="130"/>
      <c r="C120" s="97"/>
      <c r="D120" s="98"/>
      <c r="E120" s="99">
        <f>SUM(E4:E119)</f>
        <v>68147</v>
      </c>
      <c r="F120" s="99">
        <f>64+96+69+10+80+16+1593+10+21+97+15+20+86+10+56+64+48+63+40+232+300+150+32+336+32+59+64+16+80+63+61+26+10+397+110+10+348+125+192+96+30+364+231+444+576+40+58+80+48+16+1+42+215+9+48+42+48+16+320+64+1+8+22+22+186+48+12+48+24+28+28+28+56+28+152+80+96+78+20+72+80+128+50+96+124+32+72+48+20+16+5+120+433+192+88+28+16+1094+64+55+3+3+1451+113+60+48</f>
        <v>13365</v>
      </c>
      <c r="G120" s="99"/>
      <c r="H120" s="99">
        <f>SUM(H4:H119)</f>
        <v>25534</v>
      </c>
      <c r="I120" s="99">
        <f>SUM(I4:I119)</f>
        <v>29248</v>
      </c>
      <c r="J120" s="99">
        <f>SUM(J4:J119)</f>
        <v>828</v>
      </c>
      <c r="K120" s="99">
        <f>SUM(K4:K119)</f>
        <v>22444</v>
      </c>
      <c r="L120" s="99"/>
      <c r="M120" s="99" t="s">
        <v>18</v>
      </c>
      <c r="N120" s="99"/>
      <c r="O120" s="99"/>
      <c r="P120" s="98"/>
      <c r="Q120" s="98"/>
      <c r="R120" s="99">
        <f>SUM(R5:R119)</f>
        <v>15971</v>
      </c>
      <c r="S120" s="99">
        <f>SUM(S5:S119)</f>
        <v>16391</v>
      </c>
      <c r="T120" s="99">
        <f>SUM(T5:T117)</f>
        <v>8420</v>
      </c>
      <c r="U120" s="99"/>
      <c r="V120" s="100"/>
      <c r="W120" s="30"/>
      <c r="X120" s="22"/>
      <c r="Y120" s="22"/>
      <c r="Z120" s="28"/>
      <c r="AA120" s="29"/>
      <c r="AB120" s="28"/>
    </row>
    <row r="121" spans="1:22" ht="62.25" customHeight="1">
      <c r="A121" s="37"/>
      <c r="B121" s="10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102"/>
      <c r="R121" s="37"/>
      <c r="S121" s="37"/>
      <c r="T121" s="37"/>
      <c r="U121" s="37"/>
      <c r="V121" s="103"/>
    </row>
    <row r="122" spans="1:28" s="2" customFormat="1" ht="120.75" customHeight="1">
      <c r="A122" s="133" t="s">
        <v>568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32"/>
      <c r="Y122" s="6"/>
      <c r="Z122" s="6"/>
      <c r="AB122" s="6"/>
    </row>
    <row r="123" spans="1:28" s="2" customFormat="1" ht="120.75" customHeight="1">
      <c r="A123" s="133" t="s">
        <v>569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32"/>
      <c r="Y123" s="6"/>
      <c r="Z123" s="6"/>
      <c r="AB123" s="6"/>
    </row>
    <row r="124" spans="1:28" s="37" customFormat="1" ht="45">
      <c r="A124" s="33"/>
      <c r="B124" s="10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105"/>
      <c r="R124" s="33"/>
      <c r="S124" s="33"/>
      <c r="T124" s="33"/>
      <c r="U124" s="33"/>
      <c r="V124" s="103"/>
      <c r="W124" s="34"/>
      <c r="X124" s="33"/>
      <c r="Y124" s="35"/>
      <c r="Z124" s="36"/>
      <c r="AB124" s="36"/>
    </row>
    <row r="125" spans="2:28" s="37" customFormat="1" ht="45">
      <c r="B125" s="106" t="s">
        <v>534</v>
      </c>
      <c r="C125" s="107"/>
      <c r="D125" s="108"/>
      <c r="E125" s="108"/>
      <c r="F125" s="108"/>
      <c r="Q125" s="102"/>
      <c r="V125" s="103"/>
      <c r="W125" s="38"/>
      <c r="Y125" s="36"/>
      <c r="Z125" s="36"/>
      <c r="AB125" s="36"/>
    </row>
    <row r="126" spans="2:28" s="37" customFormat="1" ht="41.25" customHeight="1">
      <c r="B126" s="106" t="s">
        <v>535</v>
      </c>
      <c r="C126" s="107"/>
      <c r="D126" s="108"/>
      <c r="E126" s="108"/>
      <c r="F126" s="108"/>
      <c r="G126" s="108"/>
      <c r="K126" s="109"/>
      <c r="L126" s="110"/>
      <c r="M126" s="111"/>
      <c r="N126" s="101"/>
      <c r="P126" s="112"/>
      <c r="Q126" s="113"/>
      <c r="R126" s="114"/>
      <c r="S126" s="114"/>
      <c r="T126" s="114"/>
      <c r="U126" s="114"/>
      <c r="V126" s="103"/>
      <c r="W126" s="38"/>
      <c r="Y126" s="36"/>
      <c r="Z126" s="36"/>
      <c r="AB126" s="36"/>
    </row>
    <row r="127" spans="2:28" s="37" customFormat="1" ht="41.25" customHeight="1">
      <c r="B127" s="106" t="s">
        <v>282</v>
      </c>
      <c r="C127" s="107"/>
      <c r="D127" s="108"/>
      <c r="E127" s="108"/>
      <c r="F127" s="106"/>
      <c r="G127" s="107"/>
      <c r="H127" s="108"/>
      <c r="I127" s="108"/>
      <c r="J127" s="108"/>
      <c r="K127" s="109"/>
      <c r="M127" s="111"/>
      <c r="N127" s="101"/>
      <c r="P127" s="114"/>
      <c r="Q127" s="115"/>
      <c r="R127" s="114"/>
      <c r="S127" s="114"/>
      <c r="T127" s="114"/>
      <c r="U127" s="114"/>
      <c r="V127" s="103"/>
      <c r="W127" s="38"/>
      <c r="Y127" s="36"/>
      <c r="Z127" s="36"/>
      <c r="AB127" s="36"/>
    </row>
    <row r="128" spans="2:28" s="37" customFormat="1" ht="41.25" customHeight="1">
      <c r="B128" s="106" t="s">
        <v>279</v>
      </c>
      <c r="C128" s="107"/>
      <c r="D128" s="106"/>
      <c r="E128" s="108"/>
      <c r="F128" s="106"/>
      <c r="H128" s="108"/>
      <c r="J128" s="108"/>
      <c r="K128" s="109"/>
      <c r="M128" s="111"/>
      <c r="N128" s="101"/>
      <c r="P128" s="114"/>
      <c r="Q128" s="115"/>
      <c r="R128" s="114"/>
      <c r="S128" s="114"/>
      <c r="T128" s="114"/>
      <c r="U128" s="114"/>
      <c r="V128" s="103"/>
      <c r="W128" s="38"/>
      <c r="Y128" s="36"/>
      <c r="Z128" s="36"/>
      <c r="AB128" s="36"/>
    </row>
    <row r="129" spans="2:28" s="37" customFormat="1" ht="41.25" customHeight="1">
      <c r="B129" s="106" t="s">
        <v>22</v>
      </c>
      <c r="C129" s="107"/>
      <c r="D129" s="108"/>
      <c r="E129" s="108"/>
      <c r="F129" s="108"/>
      <c r="G129" s="13"/>
      <c r="H129" s="108"/>
      <c r="J129" s="108"/>
      <c r="K129" s="109"/>
      <c r="M129" s="111"/>
      <c r="N129" s="101"/>
      <c r="P129" s="114"/>
      <c r="Q129" s="115"/>
      <c r="R129" s="114"/>
      <c r="S129" s="114"/>
      <c r="T129" s="114"/>
      <c r="U129" s="114"/>
      <c r="V129" s="103"/>
      <c r="W129" s="38"/>
      <c r="Y129" s="36"/>
      <c r="Z129" s="36"/>
      <c r="AB129" s="36"/>
    </row>
    <row r="130" spans="1:22" ht="45">
      <c r="A130" s="106" t="s">
        <v>276</v>
      </c>
      <c r="B130" s="106" t="s">
        <v>536</v>
      </c>
      <c r="C130" s="107"/>
      <c r="D130" s="107"/>
      <c r="E130" s="106"/>
      <c r="F130" s="106"/>
      <c r="G130" s="107"/>
      <c r="H130" s="108"/>
      <c r="I130" s="108"/>
      <c r="J130" s="108"/>
      <c r="K130" s="37"/>
      <c r="L130" s="37"/>
      <c r="M130" s="37"/>
      <c r="N130" s="37"/>
      <c r="O130" s="37"/>
      <c r="P130" s="37"/>
      <c r="Q130" s="102"/>
      <c r="R130" s="37"/>
      <c r="S130" s="37"/>
      <c r="T130" s="37"/>
      <c r="U130" s="37"/>
      <c r="V130" s="103"/>
    </row>
    <row r="131" spans="1:22" ht="45">
      <c r="A131" s="37"/>
      <c r="B131" s="47"/>
      <c r="C131" s="47"/>
      <c r="D131" s="48"/>
      <c r="E131" s="48"/>
      <c r="F131" s="47"/>
      <c r="G131" s="47"/>
      <c r="H131" s="48"/>
      <c r="I131" s="48"/>
      <c r="J131" s="48"/>
      <c r="K131" s="48"/>
      <c r="L131" s="47"/>
      <c r="M131" s="49"/>
      <c r="N131" s="47"/>
      <c r="O131" s="48"/>
      <c r="P131" s="48"/>
      <c r="Q131" s="47"/>
      <c r="R131" s="47"/>
      <c r="S131" s="48"/>
      <c r="T131" s="48"/>
      <c r="U131" s="37"/>
      <c r="V131" s="103"/>
    </row>
    <row r="132" spans="1:22" ht="66" customHeight="1">
      <c r="A132" s="116" t="s">
        <v>245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37"/>
      <c r="P132" s="37"/>
      <c r="Q132" s="102"/>
      <c r="R132" s="37"/>
      <c r="S132" s="37"/>
      <c r="T132" s="37"/>
      <c r="U132" s="37"/>
      <c r="V132" s="103"/>
    </row>
    <row r="133" spans="1:28" ht="176.25" customHeight="1">
      <c r="A133" s="118" t="s">
        <v>277</v>
      </c>
      <c r="B133" s="118" t="s">
        <v>8</v>
      </c>
      <c r="C133" s="118" t="s">
        <v>17</v>
      </c>
      <c r="D133" s="118" t="s">
        <v>1</v>
      </c>
      <c r="E133" s="119" t="s">
        <v>3</v>
      </c>
      <c r="F133" s="119" t="s">
        <v>241</v>
      </c>
      <c r="G133" s="119" t="s">
        <v>278</v>
      </c>
      <c r="H133" s="119" t="s">
        <v>5</v>
      </c>
      <c r="I133" s="119" t="s">
        <v>275</v>
      </c>
      <c r="J133" s="119" t="s">
        <v>12</v>
      </c>
      <c r="K133" s="119" t="s">
        <v>11</v>
      </c>
      <c r="L133" s="88" t="s">
        <v>242</v>
      </c>
      <c r="M133" s="120" t="s">
        <v>243</v>
      </c>
      <c r="N133" s="37"/>
      <c r="O133" s="112"/>
      <c r="P133" s="115"/>
      <c r="Q133" s="114"/>
      <c r="R133" s="114"/>
      <c r="S133" s="114"/>
      <c r="T133" s="114"/>
      <c r="U133" s="103"/>
      <c r="V133" s="38"/>
      <c r="W133" s="1"/>
      <c r="X133" s="5"/>
      <c r="Z133" s="1"/>
      <c r="AA133" s="5"/>
      <c r="AB133" s="1"/>
    </row>
    <row r="134" spans="1:27" s="42" customFormat="1" ht="135.75" customHeight="1">
      <c r="A134" s="121">
        <v>1</v>
      </c>
      <c r="B134" s="121" t="s">
        <v>200</v>
      </c>
      <c r="C134" s="121">
        <v>9</v>
      </c>
      <c r="D134" s="121" t="s">
        <v>9</v>
      </c>
      <c r="E134" s="122">
        <v>312</v>
      </c>
      <c r="F134" s="123">
        <f>+S109</f>
        <v>0</v>
      </c>
      <c r="G134" s="123">
        <v>163</v>
      </c>
      <c r="H134" s="124">
        <v>63.12</v>
      </c>
      <c r="I134" s="124" t="s">
        <v>201</v>
      </c>
      <c r="J134" s="124">
        <v>180</v>
      </c>
      <c r="K134" s="125" t="s">
        <v>202</v>
      </c>
      <c r="L134" s="125" t="s">
        <v>305</v>
      </c>
      <c r="M134" s="125" t="s">
        <v>244</v>
      </c>
      <c r="N134" s="37"/>
      <c r="O134" s="37"/>
      <c r="P134" s="102"/>
      <c r="Q134" s="37"/>
      <c r="R134" s="37"/>
      <c r="S134" s="37"/>
      <c r="T134" s="37"/>
      <c r="U134" s="103"/>
      <c r="V134" s="38"/>
      <c r="X134" s="43"/>
      <c r="Y134" s="43"/>
      <c r="AA134" s="43"/>
    </row>
    <row r="135" ht="31.5" customHeight="1">
      <c r="M135" s="7"/>
    </row>
    <row r="136" ht="31.5" customHeight="1">
      <c r="M136" s="7"/>
    </row>
    <row r="137" ht="31.5" customHeight="1">
      <c r="M137" s="7"/>
    </row>
    <row r="138" ht="31.5" customHeight="1">
      <c r="M138" s="7"/>
    </row>
    <row r="139" spans="2:15" ht="31.5" customHeight="1">
      <c r="B139" s="47" t="s">
        <v>491</v>
      </c>
      <c r="C139" s="47"/>
      <c r="D139" s="48"/>
      <c r="E139" s="47"/>
      <c r="F139" s="47"/>
      <c r="G139" s="48"/>
      <c r="H139" s="48"/>
      <c r="I139" s="48"/>
      <c r="J139" s="48"/>
      <c r="K139" s="47"/>
      <c r="L139" s="47"/>
      <c r="M139" s="47"/>
      <c r="N139" s="48"/>
      <c r="O139" s="48"/>
    </row>
    <row r="140" ht="31.5" customHeight="1">
      <c r="M140" s="7"/>
    </row>
    <row r="141" ht="31.5" customHeight="1">
      <c r="M141" s="7"/>
    </row>
    <row r="142" spans="3:13" ht="31.5" customHeight="1">
      <c r="C142" s="39" t="s">
        <v>22</v>
      </c>
      <c r="D142" s="40"/>
      <c r="E142" s="41"/>
      <c r="F142" s="41"/>
      <c r="G142" s="17"/>
      <c r="H142" s="13"/>
      <c r="I142" s="41"/>
      <c r="M142" s="7"/>
    </row>
    <row r="143" ht="31.5" customHeight="1">
      <c r="M143" s="8"/>
    </row>
    <row r="144" ht="31.5" customHeight="1"/>
    <row r="145" spans="3:7" ht="31.5" customHeight="1">
      <c r="C145" s="39" t="s">
        <v>279</v>
      </c>
      <c r="D145" s="40"/>
      <c r="E145" s="39"/>
      <c r="F145" s="41"/>
      <c r="G145" s="39"/>
    </row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spans="2:11" ht="31.5" customHeight="1">
      <c r="B153" s="44" t="s">
        <v>280</v>
      </c>
      <c r="C153" s="44"/>
      <c r="D153" s="45"/>
      <c r="E153" s="45"/>
      <c r="F153" s="44"/>
      <c r="G153" s="44"/>
      <c r="H153" s="45"/>
      <c r="I153" s="45"/>
      <c r="J153" s="46"/>
      <c r="K153" s="46"/>
    </row>
    <row r="154" spans="2:11" ht="31.5" customHeight="1">
      <c r="B154" s="44" t="s">
        <v>281</v>
      </c>
      <c r="C154" s="44"/>
      <c r="D154" s="45"/>
      <c r="E154" s="45"/>
      <c r="F154" s="44"/>
      <c r="G154" s="44"/>
      <c r="H154" s="45"/>
      <c r="I154" s="45"/>
      <c r="J154" s="45"/>
      <c r="K154" s="46"/>
    </row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>
      <c r="C165" s="10"/>
    </row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</sheetData>
  <autoFilter ref="A3:IV120"/>
  <mergeCells count="4">
    <mergeCell ref="A120:B120"/>
    <mergeCell ref="A1:T1"/>
    <mergeCell ref="A122:V122"/>
    <mergeCell ref="A123:V123"/>
  </mergeCells>
  <printOptions horizontalCentered="1" verticalCentered="1"/>
  <pageMargins left="0" right="0" top="0.35" bottom="0.1968503937007874" header="0" footer="0"/>
  <pageSetup horizontalDpi="600" verticalDpi="600" orientation="portrait" paperSize="9" scale="11" r:id="rId3"/>
  <headerFooter alignWithMargins="0">
    <oddHeader>&amp;R&amp;"Arial,Kalın"&amp;48&amp;D / &amp;T
</oddHeader>
    <oddFooter>&amp;R&amp;36Finansman Dairesi Başkanlığı
DURDANE AKTEKİN</oddFooter>
  </headerFooter>
  <rowBreaks count="3" manualBreakCount="3">
    <brk id="43" max="21" man="1"/>
    <brk id="79" max="21" man="1"/>
    <brk id="117" max="2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ezgi</dc:creator>
  <cp:keywords/>
  <dc:description/>
  <cp:lastModifiedBy>GX280</cp:lastModifiedBy>
  <cp:lastPrinted>2009-09-11T14:48:38Z</cp:lastPrinted>
  <dcterms:created xsi:type="dcterms:W3CDTF">2004-08-24T13:09:42Z</dcterms:created>
  <dcterms:modified xsi:type="dcterms:W3CDTF">2009-09-11T14:57:11Z</dcterms:modified>
  <cp:category/>
  <cp:version/>
  <cp:contentType/>
  <cp:contentStatus/>
</cp:coreProperties>
</file>